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AI LIEU CONG VIEC HA 2019 - 2020\TAI LIEU DANG HONG HA (TH)\TAI LIEU HA 2020 - 2021\NAM 2020\HDND TINH\PHIEN HOP KY 15 NGAY 06.11.2020\NGUYEN TAC TIEU CHI\"/>
    </mc:Choice>
  </mc:AlternateContent>
  <bookViews>
    <workbookView xWindow="0" yWindow="0" windowWidth="21585" windowHeight="5460"/>
  </bookViews>
  <sheets>
    <sheet name="Sheet1" sheetId="1" r:id="rId1"/>
  </sheets>
  <definedNames>
    <definedName name="_xlnm.Print_Area" localSheetId="0">Sheet1!$A$1:$O$60</definedName>
    <definedName name="_xlnm.Print_Titles" localSheetId="0">Sheet1!$5:$8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6" i="1" l="1"/>
  <c r="F45" i="1" l="1"/>
  <c r="G45" i="1"/>
  <c r="H45" i="1"/>
  <c r="I45" i="1"/>
  <c r="J45" i="1"/>
  <c r="K45" i="1"/>
  <c r="L45" i="1"/>
  <c r="M45" i="1"/>
  <c r="N45" i="1"/>
  <c r="E45" i="1"/>
  <c r="F24" i="1"/>
  <c r="G24" i="1"/>
  <c r="H24" i="1"/>
  <c r="I24" i="1"/>
  <c r="J24" i="1"/>
  <c r="K24" i="1"/>
  <c r="L24" i="1"/>
  <c r="M24" i="1"/>
  <c r="N24" i="1"/>
  <c r="E24" i="1"/>
  <c r="F40" i="1" l="1"/>
  <c r="G40" i="1"/>
  <c r="H40" i="1"/>
  <c r="I40" i="1"/>
  <c r="J40" i="1"/>
  <c r="K40" i="1"/>
  <c r="L40" i="1"/>
  <c r="M40" i="1"/>
  <c r="N40" i="1"/>
  <c r="E40" i="1"/>
  <c r="M36" i="1"/>
  <c r="L36" i="1"/>
  <c r="K36" i="1"/>
  <c r="J36" i="1"/>
  <c r="I36" i="1"/>
  <c r="G36" i="1"/>
  <c r="H36" i="1"/>
  <c r="F36" i="1"/>
  <c r="E36" i="1"/>
  <c r="M16" i="1"/>
  <c r="L16" i="1"/>
  <c r="J16" i="1"/>
  <c r="K16" i="1"/>
  <c r="I16" i="1"/>
  <c r="G16" i="1"/>
  <c r="H16" i="1"/>
  <c r="D62" i="1" l="1"/>
  <c r="D61" i="1" s="1"/>
  <c r="D60" i="1" l="1"/>
  <c r="D58" i="1"/>
  <c r="D53" i="1"/>
  <c r="D48" i="1" s="1"/>
  <c r="D43" i="1"/>
  <c r="D44" i="1"/>
  <c r="D45" i="1"/>
  <c r="F42" i="1"/>
  <c r="G42" i="1"/>
  <c r="G41" i="1" s="1"/>
  <c r="H42" i="1"/>
  <c r="H41" i="1" s="1"/>
  <c r="I42" i="1"/>
  <c r="I41" i="1" s="1"/>
  <c r="J42" i="1"/>
  <c r="J41" i="1" s="1"/>
  <c r="K42" i="1"/>
  <c r="K41" i="1" s="1"/>
  <c r="L42" i="1"/>
  <c r="L41" i="1" s="1"/>
  <c r="M42" i="1"/>
  <c r="M41" i="1" s="1"/>
  <c r="N42" i="1"/>
  <c r="N41" i="1" s="1"/>
  <c r="E42" i="1"/>
  <c r="E41" i="1" s="1"/>
  <c r="I37" i="1"/>
  <c r="F37" i="1"/>
  <c r="G37" i="1"/>
  <c r="H37" i="1"/>
  <c r="J37" i="1"/>
  <c r="K37" i="1"/>
  <c r="L37" i="1"/>
  <c r="M37" i="1"/>
  <c r="N37" i="1"/>
  <c r="D29" i="1"/>
  <c r="D54" i="1" l="1"/>
  <c r="D55" i="1" s="1"/>
  <c r="D40" i="1"/>
  <c r="E37" i="1"/>
  <c r="D42" i="1"/>
  <c r="F41" i="1"/>
  <c r="D24" i="1"/>
  <c r="I21" i="1"/>
  <c r="K21" i="1"/>
  <c r="M21" i="1"/>
  <c r="E21" i="1"/>
  <c r="H21" i="1"/>
  <c r="L21" i="1"/>
  <c r="F21" i="1"/>
  <c r="J21" i="1"/>
  <c r="N21" i="1"/>
  <c r="D39" i="1"/>
  <c r="D38" i="1"/>
  <c r="P22" i="1"/>
  <c r="N19" i="1"/>
  <c r="N17" i="1" s="1"/>
  <c r="N20" i="1" s="1"/>
  <c r="M19" i="1"/>
  <c r="M17" i="1" s="1"/>
  <c r="M20" i="1" s="1"/>
  <c r="L19" i="1"/>
  <c r="L17" i="1" s="1"/>
  <c r="L20" i="1" s="1"/>
  <c r="K19" i="1"/>
  <c r="K17" i="1" s="1"/>
  <c r="K20" i="1" s="1"/>
  <c r="J19" i="1"/>
  <c r="J17" i="1" s="1"/>
  <c r="J20" i="1" s="1"/>
  <c r="I19" i="1"/>
  <c r="I17" i="1" s="1"/>
  <c r="I20" i="1" s="1"/>
  <c r="H19" i="1"/>
  <c r="H17" i="1" s="1"/>
  <c r="H20" i="1" s="1"/>
  <c r="G19" i="1"/>
  <c r="G17" i="1" s="1"/>
  <c r="G20" i="1" s="1"/>
  <c r="F19" i="1"/>
  <c r="E19" i="1"/>
  <c r="F11" i="1"/>
  <c r="F16" i="1" s="1"/>
  <c r="E11" i="1"/>
  <c r="E16" i="1" s="1"/>
  <c r="D41" i="1" l="1"/>
  <c r="Q22" i="1"/>
  <c r="D21" i="1"/>
  <c r="G21" i="1"/>
  <c r="E17" i="1"/>
  <c r="E20" i="1" s="1"/>
  <c r="F17" i="1"/>
  <c r="F20" i="1" s="1"/>
  <c r="D31" i="1" l="1"/>
  <c r="D17" i="1"/>
  <c r="D11" i="1"/>
  <c r="P16" i="1" l="1"/>
  <c r="D37" i="1"/>
  <c r="M30" i="1" l="1"/>
  <c r="K30" i="1"/>
  <c r="I30" i="1"/>
  <c r="E30" i="1"/>
  <c r="N30" i="1"/>
  <c r="L30" i="1"/>
  <c r="J30" i="1"/>
  <c r="H30" i="1"/>
  <c r="F30" i="1"/>
  <c r="H10" i="1"/>
  <c r="N10" i="1"/>
  <c r="N9" i="1" s="1"/>
  <c r="G10" i="1"/>
  <c r="H9" i="1" l="1"/>
  <c r="D36" i="1"/>
  <c r="G30" i="1"/>
  <c r="G9" i="1" s="1"/>
  <c r="M10" i="1"/>
  <c r="M9" i="1" s="1"/>
  <c r="E10" i="1"/>
  <c r="E9" i="1" s="1"/>
  <c r="D20" i="1"/>
  <c r="I10" i="1"/>
  <c r="I9" i="1" s="1"/>
  <c r="J10" i="1"/>
  <c r="J9" i="1" s="1"/>
  <c r="D16" i="1"/>
  <c r="K10" i="1"/>
  <c r="K9" i="1" s="1"/>
  <c r="L10" i="1"/>
  <c r="L9" i="1" s="1"/>
  <c r="F10" i="1"/>
  <c r="F9" i="1" s="1"/>
  <c r="D30" i="1" l="1"/>
  <c r="D10" i="1"/>
  <c r="D9" i="1" l="1"/>
  <c r="D56" i="1" l="1"/>
  <c r="E56" i="1" s="1"/>
  <c r="E54" i="1" s="1"/>
  <c r="D59" i="1"/>
  <c r="E59" i="1" s="1"/>
  <c r="F56" i="1" l="1"/>
  <c r="G56" i="1" s="1"/>
  <c r="E58" i="1"/>
  <c r="F59" i="1"/>
  <c r="F54" i="1" l="1"/>
  <c r="G59" i="1"/>
  <c r="F58" i="1"/>
  <c r="G54" i="1"/>
  <c r="H56" i="1"/>
  <c r="H59" i="1" l="1"/>
  <c r="G58" i="1"/>
  <c r="H54" i="1"/>
  <c r="I56" i="1"/>
  <c r="I59" i="1" l="1"/>
  <c r="H58" i="1"/>
  <c r="I54" i="1"/>
  <c r="J56" i="1"/>
  <c r="J59" i="1" l="1"/>
  <c r="I58" i="1"/>
  <c r="J54" i="1"/>
  <c r="K56" i="1"/>
  <c r="K59" i="1" l="1"/>
  <c r="J58" i="1"/>
  <c r="K54" i="1"/>
  <c r="L56" i="1"/>
  <c r="L59" i="1" l="1"/>
  <c r="K58" i="1"/>
  <c r="L54" i="1"/>
  <c r="M56" i="1"/>
  <c r="M59" i="1" l="1"/>
  <c r="L58" i="1"/>
  <c r="M54" i="1"/>
  <c r="N56" i="1"/>
  <c r="N54" i="1" s="1"/>
  <c r="N59" i="1" l="1"/>
  <c r="N58" i="1" s="1"/>
  <c r="M58" i="1"/>
</calcChain>
</file>

<file path=xl/sharedStrings.xml><?xml version="1.0" encoding="utf-8"?>
<sst xmlns="http://schemas.openxmlformats.org/spreadsheetml/2006/main" count="149" uniqueCount="102">
  <si>
    <t>STT</t>
  </si>
  <si>
    <t>Tiêu chí phân bổ</t>
  </si>
  <si>
    <t>Đơn vị</t>
  </si>
  <si>
    <t>Tiêu chí</t>
  </si>
  <si>
    <t>Toàn tỉnh</t>
  </si>
  <si>
    <t>Điện Biên Phủ</t>
  </si>
  <si>
    <t>Điện Biên</t>
  </si>
  <si>
    <t>Điện Biên Đông</t>
  </si>
  <si>
    <t>Tuần Giáo</t>
  </si>
  <si>
    <t>Tủa Chùa</t>
  </si>
  <si>
    <t>Mường Chà</t>
  </si>
  <si>
    <t>Mường Nhé</t>
  </si>
  <si>
    <t>Mường Ảng</t>
  </si>
  <si>
    <t>Thị xã Mường Lay</t>
  </si>
  <si>
    <t>Nậm Pồ</t>
  </si>
  <si>
    <t>Biên Phủ</t>
  </si>
  <si>
    <t>Biên</t>
  </si>
  <si>
    <t>Giáo</t>
  </si>
  <si>
    <t>Chùa</t>
  </si>
  <si>
    <t>Chà</t>
  </si>
  <si>
    <t>Nhé</t>
  </si>
  <si>
    <t>Mường</t>
  </si>
  <si>
    <t>Đông</t>
  </si>
  <si>
    <t>Lay</t>
  </si>
  <si>
    <t>I</t>
  </si>
  <si>
    <t xml:space="preserve"> Tiêu chí về dân số </t>
  </si>
  <si>
    <t>Điểm</t>
  </si>
  <si>
    <t>người</t>
  </si>
  <si>
    <t xml:space="preserve"> -</t>
  </si>
  <si>
    <t>Số điểm</t>
  </si>
  <si>
    <t>%</t>
  </si>
  <si>
    <t>II</t>
  </si>
  <si>
    <t>Tiêu chí trình độ phát triển</t>
  </si>
  <si>
    <t xml:space="preserve"> </t>
  </si>
  <si>
    <t>III</t>
  </si>
  <si>
    <t xml:space="preserve"> Tiêu chí về diện tích</t>
  </si>
  <si>
    <t>Diện tích tự nhiên</t>
  </si>
  <si>
    <t>IV</t>
  </si>
  <si>
    <t>V</t>
  </si>
  <si>
    <t>Các tiêu chí bổ sung</t>
  </si>
  <si>
    <t>Tr.đồng</t>
  </si>
  <si>
    <t>THUỘC TỈNH ĐIỆN BIÊN GIAI ĐOẠN 2021-2025</t>
  </si>
  <si>
    <t>Dân số năm 2019</t>
  </si>
  <si>
    <t>Tổng số điểm theo tiêu chí phân bổ của tỉnh giai đoạn 2021-2025</t>
  </si>
  <si>
    <t>Số dân tộc thiểu số</t>
  </si>
  <si>
    <t>Tỷ lệ dân tôc thiểu số (tạm tính)</t>
  </si>
  <si>
    <t>Tỷ lệ hộ nghèo (năm 2019)</t>
  </si>
  <si>
    <t>km2</t>
  </si>
  <si>
    <t xml:space="preserve"> Tiêu chí về đơn vị hành chính cấp xã, phường</t>
  </si>
  <si>
    <t>Số xã, phường (1 xã = 1 điểm)</t>
  </si>
  <si>
    <t>Số xã biên giới (1 xã = 0,5 điểm)</t>
  </si>
  <si>
    <t>xã</t>
  </si>
  <si>
    <t>Vùng kinh tế động lực (trục 279)</t>
  </si>
  <si>
    <t>Thành phố ĐBP được 30 điểm</t>
  </si>
  <si>
    <t>Thị trấn ĐB, TG, MA được 5 điểm</t>
  </si>
  <si>
    <t>Tổng số điểm</t>
  </si>
  <si>
    <t>A</t>
  </si>
  <si>
    <t>B</t>
  </si>
  <si>
    <t xml:space="preserve"> Trả nợ vay, lãi vay (tạm tính)</t>
  </si>
  <si>
    <t>Dự án trọng điểm</t>
  </si>
  <si>
    <t>Đối ứng ODA</t>
  </si>
  <si>
    <t>Quy hoạch tỉnh</t>
  </si>
  <si>
    <t>Vốn 1 điểm tiêu chí</t>
  </si>
  <si>
    <t>Dự phòng (10%)</t>
  </si>
  <si>
    <t>C</t>
  </si>
  <si>
    <t xml:space="preserve"> Khoa học công nghệ </t>
  </si>
  <si>
    <t xml:space="preserve"> Quốc phòng an ninh </t>
  </si>
  <si>
    <t xml:space="preserve"> Dự án công cộng + các ngành tỉnh quản lý </t>
  </si>
  <si>
    <t>Dự án ngoài hàng rào</t>
  </si>
  <si>
    <t>Vốn GĐ 2016-2020</t>
  </si>
  <si>
    <t>10 huyện, thị</t>
  </si>
  <si>
    <t>Xổ số kiến thiết</t>
  </si>
  <si>
    <t xml:space="preserve"> Trả nợ vay, lãi vay</t>
  </si>
  <si>
    <t xml:space="preserve"> Dân tộc cống</t>
  </si>
  <si>
    <t>Đến 25.000 dân được 10 điểm</t>
  </si>
  <si>
    <t>Cứ 10.000 dân TS được 0,5 điểm</t>
  </si>
  <si>
    <t>Số thu nội địa (không bao gồm thu từ sử dụng đất, XSKT)</t>
  </si>
  <si>
    <t>Phân bổ cho các huyện (70% phần còn lại)</t>
  </si>
  <si>
    <t>Phân bổ cho các ngành, lĩnh vực cấp tỉnh (30% phần còn lại)</t>
  </si>
  <si>
    <t>Cứ 1% hộ nghèo được tính 0,2 điểm</t>
  </si>
  <si>
    <t>Từ 25.000- 50.000 dân: 0-25.000 được 10 điểm, phần còn lại cứ 5.000 người được thêm 2 điểm</t>
  </si>
  <si>
    <t>Từ 50.000- 100.000 dân: 0-50.000 dân được 20 điểm, phần còn lại cứ 5.000 người được thêm 1 điểm</t>
  </si>
  <si>
    <t>Trên 100.000 dân: 0-100.000 dân được 30 điểm, phần còn lại cứ 5.000 người được thêm 0,5 điểm</t>
  </si>
  <si>
    <t>Đến 200 km2 được 8 điểm</t>
  </si>
  <si>
    <t>Từ 200-500 km2: 0-200Km2 được 8 điểm, phần còn lại cứ 100km2 được thêm 4 điểm</t>
  </si>
  <si>
    <t>Từ 500-1000 km2:  0-500Km2 được 20 điểm, phần còn lại cứ 100km2 được thêm 2 điểm</t>
  </si>
  <si>
    <t>Trên 1000km2: 0-1000Km2 được 30 điểm, phần còn lại cứ 100km2 được thêm 0,5 điểm</t>
  </si>
  <si>
    <t>Phương án 1 (không phân cấp)</t>
  </si>
  <si>
    <t>E</t>
  </si>
  <si>
    <t>Tổng vốn NSĐP 2021-2025 dự kiến (không bao gồm thu tiền sử dụng đất và XSKT)</t>
  </si>
  <si>
    <t>DỰ KIẾN TIÊU CHÍ PHÂN BỔ VỐN ĐẦU TƯ PHÁT TRIỂN NSNN NGUỒN VỐN CÂN ĐỐI NSĐP TRÊN ĐỊA BÀN CÁC HUYỆN, THỊ XÃ, THÀNH PHỐ</t>
  </si>
  <si>
    <t>Phần chi chung (tạm tính)</t>
  </si>
  <si>
    <t>Đến 50 tỷ đồng được 4 điểm</t>
  </si>
  <si>
    <t>Trên 50 tỷ đến 100 tỷ được 2 điểm</t>
  </si>
  <si>
    <t>Trên 100 tỷ được 1 điểm</t>
  </si>
  <si>
    <t>Phương án phân bổ giai đoạn 2021-2025</t>
  </si>
  <si>
    <t>Ghi chú</t>
  </si>
  <si>
    <t>Số liệu dân số và số dân tộc thiểu số; Diện tích; Tỷ lệ hộ nghèo  năm 2019 chính thức sẽ lấy theo công bố của Cục thống kê (số liệu sau khi điều chỉnh địa giới hành chính TPĐBP và HĐB)</t>
  </si>
  <si>
    <t>(Kèm theo Tờ trình số       /TTr-UBND  ngày     /11/2020 của UBND tỉnh)</t>
  </si>
  <si>
    <t xml:space="preserve">Phân cấp cho huyện 30% </t>
  </si>
  <si>
    <t xml:space="preserve">Phân bổ cho các ngành lĩnh vực cấp tỉnh quản lý và các phần chung của tỉnh 70% </t>
  </si>
  <si>
    <t>HĐND các cấp sẽ QĐ việc sử dụng, thời điểm sử dụng dự phòng chung kế hoạch đầu tư công trung hạn nguồn ngân sách cấp mình quản lý (theo quy định tại khoản 6 Điều 51 Luật ĐTC)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</si>
</sst>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0\ _₫_-;\-* #,##0.00\ _₫_-;_-* &quot;-&quot;??\ _₫_-;_-@_-"/>
    <numFmt numFmtId="165" formatCode="#,##0.0"/>
    <numFmt numFmtId="166" formatCode="#,##0.000"/>
  </numFmts>
  <fonts count="21" x14ac:knownFonts="1">
    <font>
      <sz val="11"/>
      <color theme="1"/>
      <name val="Calibri"/>
      <family val="2"/>
      <charset val="163"/>
      <scheme val="minor"/>
    </font>
    <font>
      <sz val="11"/>
      <color theme="1"/>
      <name val="Calibri"/>
      <family val="2"/>
      <charset val="163"/>
      <scheme val="minor"/>
    </font>
    <font>
      <b/>
      <sz val="12"/>
      <name val="Times New Roman"/>
      <family val="1"/>
    </font>
    <font>
      <i/>
      <sz val="12"/>
      <name val="Times New Roman"/>
      <family val="1"/>
    </font>
    <font>
      <sz val="12"/>
      <name val="Times New Roman"/>
      <family val="1"/>
    </font>
    <font>
      <b/>
      <i/>
      <sz val="12"/>
      <name val="Times New Roman"/>
      <family val="1"/>
    </font>
    <font>
      <sz val="10"/>
      <name val="Arial"/>
      <family val="2"/>
    </font>
    <font>
      <i/>
      <sz val="11"/>
      <color theme="1"/>
      <name val="Calibri"/>
      <family val="2"/>
      <charset val="163"/>
      <scheme val="minor"/>
    </font>
    <font>
      <b/>
      <i/>
      <sz val="11"/>
      <color theme="1"/>
      <name val="Calibri"/>
      <family val="2"/>
      <charset val="163"/>
      <scheme val="minor"/>
    </font>
    <font>
      <i/>
      <sz val="12"/>
      <color rgb="FF222222"/>
      <name val="Arial"/>
      <family val="2"/>
    </font>
    <font>
      <sz val="11"/>
      <color rgb="FFFF0000"/>
      <name val="Calibri"/>
      <family val="2"/>
      <charset val="163"/>
      <scheme val="minor"/>
    </font>
    <font>
      <sz val="12"/>
      <color rgb="FFFF0000"/>
      <name val="Times New Roman"/>
      <family val="1"/>
    </font>
    <font>
      <b/>
      <sz val="11"/>
      <color theme="1"/>
      <name val="Calibri"/>
      <family val="2"/>
      <charset val="163"/>
      <scheme val="minor"/>
    </font>
    <font>
      <b/>
      <sz val="11"/>
      <color rgb="FFFF0000"/>
      <name val="Calibri"/>
      <family val="2"/>
      <charset val="163"/>
      <scheme val="minor"/>
    </font>
    <font>
      <u/>
      <sz val="12"/>
      <name val="Times New Roman"/>
      <family val="1"/>
    </font>
    <font>
      <sz val="11"/>
      <name val="Calibri"/>
      <family val="2"/>
      <charset val="163"/>
      <scheme val="minor"/>
    </font>
    <font>
      <i/>
      <sz val="12"/>
      <color rgb="FFFF0000"/>
      <name val="Times New Roman"/>
      <family val="1"/>
    </font>
    <font>
      <b/>
      <sz val="11"/>
      <name val="Calibri"/>
      <family val="2"/>
      <charset val="163"/>
      <scheme val="minor"/>
    </font>
    <font>
      <b/>
      <sz val="12"/>
      <color rgb="FFFF0000"/>
      <name val="Times New Roman"/>
      <family val="1"/>
    </font>
    <font>
      <i/>
      <sz val="11"/>
      <color theme="1"/>
      <name val="Times New Roman"/>
      <family val="1"/>
    </font>
    <font>
      <i/>
      <sz val="11"/>
      <name val="Calibri"/>
      <family val="2"/>
      <charset val="163"/>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164" fontId="1" fillId="0" borderId="0" applyFont="0" applyFill="0" applyBorder="0" applyAlignment="0" applyProtection="0"/>
    <xf numFmtId="0" fontId="6" fillId="0" borderId="0"/>
  </cellStyleXfs>
  <cellXfs count="74">
    <xf numFmtId="0" fontId="0" fillId="0" borderId="0" xfId="0"/>
    <xf numFmtId="0" fontId="4" fillId="0" borderId="0" xfId="0" applyFont="1" applyFill="1" applyAlignment="1">
      <alignment horizontal="center" vertical="center"/>
    </xf>
    <xf numFmtId="0" fontId="4" fillId="0" borderId="0" xfId="0" applyFont="1" applyFill="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3" fontId="5" fillId="0" borderId="1" xfId="0" applyNumberFormat="1" applyFont="1" applyFill="1" applyBorder="1" applyAlignment="1">
      <alignment vertical="center"/>
    </xf>
    <xf numFmtId="0" fontId="4" fillId="0" borderId="1" xfId="0" applyFont="1" applyFill="1" applyBorder="1" applyAlignment="1">
      <alignment vertical="center"/>
    </xf>
    <xf numFmtId="4" fontId="4" fillId="0" borderId="1" xfId="0" applyNumberFormat="1" applyFont="1" applyFill="1" applyBorder="1" applyAlignment="1">
      <alignment vertical="center"/>
    </xf>
    <xf numFmtId="3" fontId="4" fillId="0" borderId="1" xfId="0" applyNumberFormat="1"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166" fontId="3" fillId="0" borderId="1" xfId="0" applyNumberFormat="1" applyFont="1" applyFill="1" applyBorder="1" applyAlignment="1">
      <alignment vertical="center"/>
    </xf>
    <xf numFmtId="43" fontId="4" fillId="0" borderId="1" xfId="0" applyNumberFormat="1" applyFont="1" applyFill="1" applyBorder="1" applyAlignment="1">
      <alignment vertical="center"/>
    </xf>
    <xf numFmtId="3" fontId="2" fillId="0" borderId="1" xfId="0" applyNumberFormat="1" applyFont="1" applyFill="1" applyBorder="1" applyAlignment="1">
      <alignment vertical="center"/>
    </xf>
    <xf numFmtId="4" fontId="5" fillId="0" borderId="1" xfId="0" applyNumberFormat="1" applyFont="1" applyFill="1" applyBorder="1" applyAlignment="1">
      <alignment vertical="center"/>
    </xf>
    <xf numFmtId="0" fontId="3" fillId="0" borderId="1" xfId="2" applyFont="1" applyFill="1" applyBorder="1" applyAlignment="1">
      <alignment vertical="center"/>
    </xf>
    <xf numFmtId="0" fontId="3" fillId="0" borderId="1" xfId="2" applyFont="1" applyFill="1" applyBorder="1" applyAlignment="1">
      <alignment horizontal="center" vertical="center"/>
    </xf>
    <xf numFmtId="4" fontId="3" fillId="0" borderId="1" xfId="2" applyNumberFormat="1" applyFont="1" applyFill="1" applyBorder="1" applyAlignment="1">
      <alignment vertical="center"/>
    </xf>
    <xf numFmtId="4" fontId="3" fillId="0" borderId="1" xfId="2" applyNumberFormat="1" applyFont="1" applyFill="1" applyBorder="1" applyAlignment="1">
      <alignment horizontal="right" vertical="center"/>
    </xf>
    <xf numFmtId="165" fontId="4" fillId="0" borderId="1" xfId="0" applyNumberFormat="1" applyFont="1" applyFill="1" applyBorder="1" applyAlignment="1">
      <alignment vertical="center"/>
    </xf>
    <xf numFmtId="165" fontId="3" fillId="0" borderId="1" xfId="0" applyNumberFormat="1" applyFont="1" applyFill="1" applyBorder="1" applyAlignment="1">
      <alignment vertical="center"/>
    </xf>
    <xf numFmtId="0" fontId="3" fillId="0" borderId="1" xfId="0" applyFont="1" applyFill="1" applyBorder="1" applyAlignment="1">
      <alignment horizontal="left" vertical="center"/>
    </xf>
    <xf numFmtId="3" fontId="3" fillId="0" borderId="1" xfId="0" applyNumberFormat="1" applyFont="1" applyFill="1" applyBorder="1" applyAlignment="1">
      <alignment vertical="center"/>
    </xf>
    <xf numFmtId="43" fontId="4" fillId="0" borderId="1" xfId="1" applyNumberFormat="1" applyFont="1" applyFill="1" applyBorder="1" applyAlignment="1">
      <alignment vertical="center"/>
    </xf>
    <xf numFmtId="0" fontId="2" fillId="0" borderId="1" xfId="0" applyFont="1" applyFill="1" applyBorder="1" applyAlignment="1">
      <alignment vertical="center" wrapText="1"/>
    </xf>
    <xf numFmtId="4" fontId="3" fillId="0" borderId="1" xfId="0" applyNumberFormat="1" applyFont="1" applyFill="1" applyBorder="1" applyAlignment="1">
      <alignment vertical="center"/>
    </xf>
    <xf numFmtId="0" fontId="3" fillId="0" borderId="1" xfId="0" applyFont="1" applyFill="1" applyBorder="1" applyAlignment="1">
      <alignment vertical="center" wrapText="1"/>
    </xf>
    <xf numFmtId="3" fontId="2" fillId="0" borderId="1" xfId="0" applyNumberFormat="1" applyFont="1" applyFill="1" applyBorder="1" applyAlignment="1">
      <alignment horizontal="right" vertical="center"/>
    </xf>
    <xf numFmtId="166" fontId="4" fillId="0" borderId="1" xfId="0" applyNumberFormat="1" applyFont="1" applyFill="1" applyBorder="1" applyAlignment="1">
      <alignment vertical="center"/>
    </xf>
    <xf numFmtId="0" fontId="4" fillId="0" borderId="1" xfId="0" applyFont="1" applyFill="1" applyBorder="1" applyAlignment="1">
      <alignment horizontal="left" vertical="center" wrapText="1"/>
    </xf>
    <xf numFmtId="166" fontId="2" fillId="0" borderId="1" xfId="0" applyNumberFormat="1" applyFont="1" applyFill="1" applyBorder="1" applyAlignment="1">
      <alignment vertical="center"/>
    </xf>
    <xf numFmtId="165" fontId="3"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3" fillId="0" borderId="1" xfId="2" applyFont="1" applyFill="1" applyBorder="1" applyAlignment="1">
      <alignment vertical="center" wrapText="1"/>
    </xf>
    <xf numFmtId="165" fontId="2" fillId="0" borderId="1" xfId="0" applyNumberFormat="1" applyFont="1" applyFill="1" applyBorder="1" applyAlignment="1">
      <alignment vertical="center"/>
    </xf>
    <xf numFmtId="0" fontId="0" fillId="0" borderId="0" xfId="0" applyFill="1"/>
    <xf numFmtId="0" fontId="14" fillId="0" borderId="1" xfId="0" applyFont="1" applyFill="1" applyBorder="1" applyAlignment="1">
      <alignment horizontal="center" vertical="center"/>
    </xf>
    <xf numFmtId="0" fontId="15" fillId="0" borderId="0" xfId="0" applyFont="1" applyFill="1"/>
    <xf numFmtId="0" fontId="7" fillId="0" borderId="0" xfId="0" applyFont="1" applyFill="1"/>
    <xf numFmtId="3" fontId="7" fillId="0" borderId="0" xfId="0" applyNumberFormat="1" applyFont="1" applyFill="1"/>
    <xf numFmtId="3" fontId="9" fillId="0" borderId="0" xfId="0" applyNumberFormat="1" applyFont="1" applyFill="1"/>
    <xf numFmtId="0" fontId="8" fillId="0" borderId="0" xfId="0" applyFont="1" applyFill="1"/>
    <xf numFmtId="4" fontId="8" fillId="0" borderId="0" xfId="0" applyNumberFormat="1" applyFont="1" applyFill="1"/>
    <xf numFmtId="0" fontId="0" fillId="0" borderId="0" xfId="0" applyFont="1" applyFill="1"/>
    <xf numFmtId="0" fontId="10" fillId="0" borderId="0" xfId="0" applyFont="1" applyFill="1"/>
    <xf numFmtId="0" fontId="13" fillId="0" borderId="0" xfId="0" applyFont="1" applyFill="1"/>
    <xf numFmtId="0" fontId="12" fillId="0" borderId="0" xfId="0" applyFont="1" applyFill="1"/>
    <xf numFmtId="0" fontId="17" fillId="0" borderId="0" xfId="0" applyFont="1" applyFill="1"/>
    <xf numFmtId="0" fontId="18" fillId="0" borderId="1" xfId="0" applyFont="1" applyFill="1" applyBorder="1" applyAlignment="1">
      <alignment horizontal="center" vertical="center"/>
    </xf>
    <xf numFmtId="0" fontId="18" fillId="0" borderId="1" xfId="0" applyFont="1" applyFill="1" applyBorder="1" applyAlignment="1">
      <alignment vertical="center" wrapText="1"/>
    </xf>
    <xf numFmtId="165" fontId="16" fillId="0" borderId="1" xfId="0" applyNumberFormat="1" applyFont="1" applyFill="1" applyBorder="1" applyAlignment="1">
      <alignment horizontal="center" vertical="center"/>
    </xf>
    <xf numFmtId="165" fontId="16" fillId="0" borderId="1" xfId="0" applyNumberFormat="1" applyFont="1" applyFill="1" applyBorder="1" applyAlignment="1">
      <alignment vertical="center"/>
    </xf>
    <xf numFmtId="0" fontId="15" fillId="0" borderId="1" xfId="0" applyFont="1" applyFill="1" applyBorder="1"/>
    <xf numFmtId="0" fontId="0" fillId="0" borderId="1" xfId="0" applyFill="1" applyBorder="1"/>
    <xf numFmtId="0" fontId="5" fillId="0" borderId="1" xfId="2" applyFont="1" applyFill="1" applyBorder="1" applyAlignment="1">
      <alignment horizontal="center" vertical="center"/>
    </xf>
    <xf numFmtId="0" fontId="5" fillId="0" borderId="1" xfId="2" applyFont="1" applyFill="1" applyBorder="1" applyAlignment="1">
      <alignment vertical="center" wrapText="1"/>
    </xf>
    <xf numFmtId="4" fontId="5" fillId="0" borderId="1" xfId="2" applyNumberFormat="1" applyFont="1" applyFill="1" applyBorder="1" applyAlignment="1">
      <alignment vertical="center"/>
    </xf>
    <xf numFmtId="0" fontId="20" fillId="0" borderId="0" xfId="0" applyFont="1" applyFill="1"/>
    <xf numFmtId="3" fontId="3" fillId="0" borderId="1" xfId="2" applyNumberFormat="1" applyFont="1" applyFill="1" applyBorder="1" applyAlignment="1">
      <alignment vertical="center"/>
    </xf>
    <xf numFmtId="2" fontId="2" fillId="0" borderId="1" xfId="0" applyNumberFormat="1" applyFont="1" applyFill="1" applyBorder="1" applyAlignment="1">
      <alignment horizontal="center" vertical="center" wrapText="1"/>
    </xf>
    <xf numFmtId="0" fontId="19" fillId="0" borderId="5" xfId="0" applyFont="1" applyFill="1" applyBorder="1" applyAlignment="1">
      <alignment horizontal="center" vertical="top" wrapText="1"/>
    </xf>
    <xf numFmtId="0" fontId="19" fillId="0" borderId="6" xfId="0" applyFont="1" applyFill="1" applyBorder="1" applyAlignment="1">
      <alignment horizontal="center" vertical="top" wrapText="1"/>
    </xf>
    <xf numFmtId="0" fontId="19" fillId="0" borderId="1" xfId="0" applyFont="1" applyFill="1" applyBorder="1" applyAlignment="1">
      <alignment horizontal="center" vertical="top"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tabSelected="1" view="pageBreakPreview" zoomScale="80" zoomScaleNormal="80" zoomScaleSheetLayoutView="80" workbookViewId="0">
      <pane xSplit="2" ySplit="8" topLeftCell="C27" activePane="bottomRight" state="frozen"/>
      <selection pane="topRight" activeCell="C1" sqref="C1"/>
      <selection pane="bottomLeft" activeCell="A9" sqref="A9"/>
      <selection pane="bottomRight" activeCell="R34" sqref="R34"/>
    </sheetView>
  </sheetViews>
  <sheetFormatPr defaultColWidth="9.140625" defaultRowHeight="15" x14ac:dyDescent="0.25"/>
  <cols>
    <col min="1" max="1" width="5.28515625" style="40" customWidth="1"/>
    <col min="2" max="2" width="43.85546875" style="40" customWidth="1"/>
    <col min="3" max="3" width="9.140625" style="40"/>
    <col min="4" max="4" width="12.7109375" style="40" bestFit="1" customWidth="1"/>
    <col min="5" max="5" width="10.42578125" style="40" customWidth="1"/>
    <col min="6" max="6" width="11.42578125" style="40" customWidth="1"/>
    <col min="7" max="8" width="9.85546875" style="40" bestFit="1" customWidth="1"/>
    <col min="9" max="9" width="9.140625" style="40"/>
    <col min="10" max="11" width="9.85546875" style="40" bestFit="1" customWidth="1"/>
    <col min="12" max="12" width="9.140625" style="40"/>
    <col min="13" max="13" width="9.85546875" style="40" bestFit="1" customWidth="1"/>
    <col min="14" max="14" width="9.140625" style="40"/>
    <col min="15" max="15" width="13.28515625" style="40" customWidth="1"/>
    <col min="16" max="16" width="12" style="40" bestFit="1" customWidth="1"/>
    <col min="17" max="16384" width="9.140625" style="40"/>
  </cols>
  <sheetData>
    <row r="1" spans="1:16" ht="15.75" x14ac:dyDescent="0.25">
      <c r="A1" s="68" t="s">
        <v>90</v>
      </c>
      <c r="B1" s="68"/>
      <c r="C1" s="68"/>
      <c r="D1" s="68"/>
      <c r="E1" s="68"/>
      <c r="F1" s="68"/>
      <c r="G1" s="68"/>
      <c r="H1" s="68"/>
      <c r="I1" s="68"/>
      <c r="J1" s="68"/>
      <c r="K1" s="68"/>
      <c r="L1" s="68"/>
      <c r="M1" s="68"/>
      <c r="N1" s="68"/>
      <c r="O1" s="68"/>
    </row>
    <row r="2" spans="1:16" ht="15.75" x14ac:dyDescent="0.25">
      <c r="A2" s="68" t="s">
        <v>41</v>
      </c>
      <c r="B2" s="68"/>
      <c r="C2" s="68"/>
      <c r="D2" s="68"/>
      <c r="E2" s="68"/>
      <c r="F2" s="68"/>
      <c r="G2" s="68"/>
      <c r="H2" s="68"/>
      <c r="I2" s="68"/>
      <c r="J2" s="68"/>
      <c r="K2" s="68"/>
      <c r="L2" s="68"/>
      <c r="M2" s="68"/>
      <c r="N2" s="68"/>
      <c r="O2" s="68"/>
    </row>
    <row r="3" spans="1:16" ht="15.75" x14ac:dyDescent="0.25">
      <c r="A3" s="69" t="s">
        <v>98</v>
      </c>
      <c r="B3" s="69"/>
      <c r="C3" s="69"/>
      <c r="D3" s="69"/>
      <c r="E3" s="69"/>
      <c r="F3" s="69"/>
      <c r="G3" s="69"/>
      <c r="H3" s="69"/>
      <c r="I3" s="69"/>
      <c r="J3" s="69"/>
      <c r="K3" s="69"/>
      <c r="L3" s="69"/>
      <c r="M3" s="69"/>
      <c r="N3" s="69"/>
      <c r="O3" s="69"/>
    </row>
    <row r="4" spans="1:16" ht="15.75" x14ac:dyDescent="0.25">
      <c r="A4" s="1"/>
      <c r="B4" s="2"/>
      <c r="C4" s="2"/>
      <c r="D4" s="2"/>
      <c r="E4" s="2"/>
      <c r="F4" s="2"/>
      <c r="G4" s="2"/>
      <c r="H4" s="2"/>
      <c r="I4" s="2"/>
      <c r="J4" s="2"/>
      <c r="K4" s="2"/>
      <c r="L4" s="2"/>
      <c r="M4" s="2"/>
      <c r="N4" s="2"/>
    </row>
    <row r="5" spans="1:16" ht="15.75" customHeight="1" x14ac:dyDescent="0.25">
      <c r="A5" s="70" t="s">
        <v>0</v>
      </c>
      <c r="B5" s="70" t="s">
        <v>1</v>
      </c>
      <c r="C5" s="70" t="s">
        <v>2</v>
      </c>
      <c r="D5" s="71" t="s">
        <v>43</v>
      </c>
      <c r="E5" s="72"/>
      <c r="F5" s="72"/>
      <c r="G5" s="72"/>
      <c r="H5" s="72"/>
      <c r="I5" s="72"/>
      <c r="J5" s="72"/>
      <c r="K5" s="72"/>
      <c r="L5" s="72"/>
      <c r="M5" s="72"/>
      <c r="N5" s="73"/>
      <c r="O5" s="64" t="s">
        <v>96</v>
      </c>
    </row>
    <row r="6" spans="1:16" ht="15" customHeight="1" x14ac:dyDescent="0.25">
      <c r="A6" s="70"/>
      <c r="B6" s="70" t="s">
        <v>3</v>
      </c>
      <c r="C6" s="70"/>
      <c r="D6" s="64" t="s">
        <v>4</v>
      </c>
      <c r="E6" s="64" t="s">
        <v>5</v>
      </c>
      <c r="F6" s="64" t="s">
        <v>6</v>
      </c>
      <c r="G6" s="64" t="s">
        <v>8</v>
      </c>
      <c r="H6" s="64" t="s">
        <v>7</v>
      </c>
      <c r="I6" s="64" t="s">
        <v>12</v>
      </c>
      <c r="J6" s="64" t="s">
        <v>11</v>
      </c>
      <c r="K6" s="64" t="s">
        <v>10</v>
      </c>
      <c r="L6" s="64" t="s">
        <v>9</v>
      </c>
      <c r="M6" s="64" t="s">
        <v>14</v>
      </c>
      <c r="N6" s="64" t="s">
        <v>13</v>
      </c>
      <c r="O6" s="64"/>
    </row>
    <row r="7" spans="1:16" ht="15" customHeight="1" x14ac:dyDescent="0.25">
      <c r="A7" s="70"/>
      <c r="B7" s="70"/>
      <c r="C7" s="70"/>
      <c r="D7" s="64"/>
      <c r="E7" s="64" t="s">
        <v>15</v>
      </c>
      <c r="F7" s="64" t="s">
        <v>16</v>
      </c>
      <c r="G7" s="64" t="s">
        <v>17</v>
      </c>
      <c r="H7" s="64" t="s">
        <v>16</v>
      </c>
      <c r="I7" s="64" t="s">
        <v>20</v>
      </c>
      <c r="J7" s="64" t="s">
        <v>20</v>
      </c>
      <c r="K7" s="64" t="s">
        <v>19</v>
      </c>
      <c r="L7" s="64" t="s">
        <v>18</v>
      </c>
      <c r="M7" s="64" t="s">
        <v>21</v>
      </c>
      <c r="N7" s="64" t="s">
        <v>21</v>
      </c>
      <c r="O7" s="64"/>
    </row>
    <row r="8" spans="1:16" ht="40.5" customHeight="1" x14ac:dyDescent="0.25">
      <c r="A8" s="70"/>
      <c r="B8" s="70"/>
      <c r="C8" s="70"/>
      <c r="D8" s="64"/>
      <c r="E8" s="64"/>
      <c r="F8" s="64"/>
      <c r="G8" s="64"/>
      <c r="H8" s="64" t="s">
        <v>22</v>
      </c>
      <c r="I8" s="64"/>
      <c r="J8" s="64"/>
      <c r="K8" s="64"/>
      <c r="L8" s="64"/>
      <c r="M8" s="64" t="s">
        <v>23</v>
      </c>
      <c r="N8" s="64" t="s">
        <v>23</v>
      </c>
      <c r="O8" s="64"/>
    </row>
    <row r="9" spans="1:16" s="42" customFormat="1" ht="15.75" x14ac:dyDescent="0.25">
      <c r="A9" s="3" t="s">
        <v>56</v>
      </c>
      <c r="B9" s="4" t="s">
        <v>55</v>
      </c>
      <c r="C9" s="41"/>
      <c r="D9" s="5">
        <f t="shared" ref="D9:N9" si="0">D10+D21+D30+D37+D41</f>
        <v>786.65521871581768</v>
      </c>
      <c r="E9" s="5">
        <f t="shared" si="0"/>
        <v>82.222568374060145</v>
      </c>
      <c r="F9" s="5">
        <f t="shared" si="0"/>
        <v>101.6453436340784</v>
      </c>
      <c r="G9" s="5">
        <f t="shared" si="0"/>
        <v>97.955497028530942</v>
      </c>
      <c r="H9" s="5">
        <f t="shared" si="0"/>
        <v>85.815266452288768</v>
      </c>
      <c r="I9" s="5">
        <f t="shared" si="0"/>
        <v>64.47286386971345</v>
      </c>
      <c r="J9" s="5">
        <f t="shared" si="0"/>
        <v>83.696637305632251</v>
      </c>
      <c r="K9" s="5">
        <f t="shared" si="0"/>
        <v>80.617801972972984</v>
      </c>
      <c r="L9" s="5">
        <f t="shared" si="0"/>
        <v>73.419071765828875</v>
      </c>
      <c r="M9" s="5">
        <f t="shared" si="0"/>
        <v>90.213975466975668</v>
      </c>
      <c r="N9" s="5">
        <f t="shared" si="0"/>
        <v>26.596192845736187</v>
      </c>
      <c r="O9" s="57"/>
    </row>
    <row r="10" spans="1:16" ht="15.75" x14ac:dyDescent="0.25">
      <c r="A10" s="3" t="s">
        <v>24</v>
      </c>
      <c r="B10" s="6" t="s">
        <v>25</v>
      </c>
      <c r="C10" s="7" t="s">
        <v>26</v>
      </c>
      <c r="D10" s="5">
        <f t="shared" ref="D10:N10" si="1">D16+D20</f>
        <v>239.62025471581765</v>
      </c>
      <c r="E10" s="5">
        <f t="shared" si="1"/>
        <v>26.835368374060149</v>
      </c>
      <c r="F10" s="5">
        <f t="shared" si="1"/>
        <v>33.095393634078398</v>
      </c>
      <c r="G10" s="5">
        <f t="shared" si="1"/>
        <v>31.604383528530938</v>
      </c>
      <c r="H10" s="5">
        <f t="shared" si="1"/>
        <v>26.664954452288772</v>
      </c>
      <c r="I10" s="5">
        <f t="shared" si="1"/>
        <v>21.566287869713442</v>
      </c>
      <c r="J10" s="5">
        <f t="shared" si="1"/>
        <v>20.365231805632249</v>
      </c>
      <c r="K10" s="5">
        <f t="shared" si="1"/>
        <v>21.498326972972976</v>
      </c>
      <c r="L10" s="5">
        <f t="shared" si="1"/>
        <v>24.236095765828882</v>
      </c>
      <c r="M10" s="5">
        <f t="shared" si="1"/>
        <v>23.518019466975666</v>
      </c>
      <c r="N10" s="5">
        <f t="shared" si="1"/>
        <v>10.236192845736186</v>
      </c>
      <c r="O10" s="58"/>
    </row>
    <row r="11" spans="1:16" s="43" customFormat="1" ht="15.75" customHeight="1" x14ac:dyDescent="0.25">
      <c r="A11" s="8">
        <v>1</v>
      </c>
      <c r="B11" s="9" t="s">
        <v>42</v>
      </c>
      <c r="C11" s="8" t="s">
        <v>27</v>
      </c>
      <c r="D11" s="10">
        <f>SUM(E11:N11)</f>
        <v>601659</v>
      </c>
      <c r="E11" s="10">
        <f>58793+21924</f>
        <v>80717</v>
      </c>
      <c r="F11" s="10">
        <f>120256-21924</f>
        <v>98332</v>
      </c>
      <c r="G11" s="10">
        <v>88294</v>
      </c>
      <c r="H11" s="10">
        <v>67180</v>
      </c>
      <c r="I11" s="10">
        <v>48709</v>
      </c>
      <c r="J11" s="10">
        <v>45941</v>
      </c>
      <c r="K11" s="10">
        <v>48230</v>
      </c>
      <c r="L11" s="10">
        <v>57729</v>
      </c>
      <c r="M11" s="10">
        <v>55008</v>
      </c>
      <c r="N11" s="10">
        <v>11519</v>
      </c>
      <c r="O11" s="65" t="s">
        <v>97</v>
      </c>
      <c r="P11" s="44"/>
    </row>
    <row r="12" spans="1:16" s="43" customFormat="1" ht="15.75" x14ac:dyDescent="0.25">
      <c r="A12" s="14"/>
      <c r="B12" s="15" t="s">
        <v>74</v>
      </c>
      <c r="C12" s="14"/>
      <c r="D12" s="30"/>
      <c r="E12" s="30"/>
      <c r="F12" s="30"/>
      <c r="G12" s="30"/>
      <c r="H12" s="30"/>
      <c r="I12" s="30"/>
      <c r="J12" s="30"/>
      <c r="K12" s="30"/>
      <c r="L12" s="30"/>
      <c r="M12" s="30"/>
      <c r="N12" s="27"/>
      <c r="O12" s="66"/>
      <c r="P12" s="45"/>
    </row>
    <row r="13" spans="1:16" s="43" customFormat="1" ht="47.25" x14ac:dyDescent="0.25">
      <c r="A13" s="14"/>
      <c r="B13" s="31" t="s">
        <v>80</v>
      </c>
      <c r="C13" s="14"/>
      <c r="D13" s="30"/>
      <c r="E13" s="30"/>
      <c r="F13" s="30"/>
      <c r="G13" s="30"/>
      <c r="H13" s="30"/>
      <c r="I13" s="30"/>
      <c r="J13" s="30"/>
      <c r="K13" s="30"/>
      <c r="L13" s="30"/>
      <c r="M13" s="30"/>
      <c r="N13" s="27"/>
      <c r="O13" s="66"/>
      <c r="P13" s="45"/>
    </row>
    <row r="14" spans="1:16" s="43" customFormat="1" ht="47.25" x14ac:dyDescent="0.25">
      <c r="A14" s="14"/>
      <c r="B14" s="31" t="s">
        <v>81</v>
      </c>
      <c r="C14" s="14"/>
      <c r="D14" s="30"/>
      <c r="E14" s="30"/>
      <c r="F14" s="30"/>
      <c r="G14" s="30"/>
      <c r="H14" s="30"/>
      <c r="I14" s="30"/>
      <c r="J14" s="30"/>
      <c r="K14" s="30"/>
      <c r="L14" s="30"/>
      <c r="M14" s="30"/>
      <c r="N14" s="27"/>
      <c r="O14" s="66"/>
      <c r="P14" s="45"/>
    </row>
    <row r="15" spans="1:16" s="43" customFormat="1" ht="47.25" x14ac:dyDescent="0.25">
      <c r="A15" s="14"/>
      <c r="B15" s="31" t="s">
        <v>82</v>
      </c>
      <c r="C15" s="14"/>
      <c r="D15" s="30"/>
      <c r="E15" s="30"/>
      <c r="F15" s="30"/>
      <c r="G15" s="30"/>
      <c r="H15" s="30"/>
      <c r="I15" s="30"/>
      <c r="J15" s="30"/>
      <c r="K15" s="30"/>
      <c r="L15" s="30"/>
      <c r="M15" s="30"/>
      <c r="N15" s="27"/>
      <c r="O15" s="66"/>
      <c r="P15" s="45"/>
    </row>
    <row r="16" spans="1:16" ht="15.75" x14ac:dyDescent="0.25">
      <c r="A16" s="7" t="s">
        <v>28</v>
      </c>
      <c r="B16" s="11" t="s">
        <v>29</v>
      </c>
      <c r="C16" s="7" t="s">
        <v>26</v>
      </c>
      <c r="D16" s="28">
        <f>SUM(E16:N16)</f>
        <v>216.60399999999998</v>
      </c>
      <c r="E16" s="12">
        <f>20+(E11-50000)/5000*1</f>
        <v>26.1434</v>
      </c>
      <c r="F16" s="12">
        <f t="shared" ref="F16:H16" si="2">20+(F11-50000)/5000*1</f>
        <v>29.666399999999999</v>
      </c>
      <c r="G16" s="12">
        <f t="shared" si="2"/>
        <v>27.658799999999999</v>
      </c>
      <c r="H16" s="12">
        <f t="shared" si="2"/>
        <v>23.436</v>
      </c>
      <c r="I16" s="12">
        <f>10+(I11-25000)/5000*2</f>
        <v>19.483599999999999</v>
      </c>
      <c r="J16" s="12">
        <f t="shared" ref="J16:K16" si="3">10+(J11-25000)/5000*2</f>
        <v>18.3764</v>
      </c>
      <c r="K16" s="12">
        <f t="shared" si="3"/>
        <v>19.292000000000002</v>
      </c>
      <c r="L16" s="12">
        <f>20+(L11-50000)/5000*1</f>
        <v>21.5458</v>
      </c>
      <c r="M16" s="12">
        <f>20+(M11-50000)/5000*1</f>
        <v>21.0016</v>
      </c>
      <c r="N16" s="12">
        <v>10</v>
      </c>
      <c r="O16" s="66"/>
      <c r="P16" s="40" t="e">
        <f>#REF!/D11*10000</f>
        <v>#REF!</v>
      </c>
    </row>
    <row r="17" spans="1:17" s="43" customFormat="1" ht="15.75" x14ac:dyDescent="0.25">
      <c r="A17" s="8">
        <v>2</v>
      </c>
      <c r="B17" s="9" t="s">
        <v>44</v>
      </c>
      <c r="C17" s="8" t="s">
        <v>27</v>
      </c>
      <c r="D17" s="10">
        <f>SUM(E17:N17)</f>
        <v>460325.09431635326</v>
      </c>
      <c r="E17" s="10">
        <f>E19*E11/100</f>
        <v>13839.367481203008</v>
      </c>
      <c r="F17" s="10">
        <f t="shared" ref="F17:N17" si="4">F19*F11/100</f>
        <v>68579.872681568027</v>
      </c>
      <c r="G17" s="10">
        <f t="shared" si="4"/>
        <v>78911.670570618749</v>
      </c>
      <c r="H17" s="10">
        <f t="shared" si="4"/>
        <v>64579.08904577545</v>
      </c>
      <c r="I17" s="10">
        <f t="shared" si="4"/>
        <v>41653.757394268869</v>
      </c>
      <c r="J17" s="10">
        <f t="shared" si="4"/>
        <v>39776.636112644948</v>
      </c>
      <c r="K17" s="10">
        <f t="shared" si="4"/>
        <v>44126.539459459462</v>
      </c>
      <c r="L17" s="10">
        <f t="shared" si="4"/>
        <v>53805.915316577637</v>
      </c>
      <c r="M17" s="10">
        <f t="shared" si="4"/>
        <v>50328.389339513335</v>
      </c>
      <c r="N17" s="10">
        <f t="shared" si="4"/>
        <v>4723.8569147237313</v>
      </c>
      <c r="O17" s="66"/>
      <c r="P17" s="44"/>
    </row>
    <row r="18" spans="1:17" s="43" customFormat="1" ht="15.75" x14ac:dyDescent="0.25">
      <c r="A18" s="14"/>
      <c r="B18" s="15" t="s">
        <v>75</v>
      </c>
      <c r="C18" s="14"/>
      <c r="D18" s="30"/>
      <c r="E18" s="27"/>
      <c r="F18" s="27"/>
      <c r="G18" s="27"/>
      <c r="H18" s="27"/>
      <c r="I18" s="27"/>
      <c r="J18" s="27"/>
      <c r="K18" s="27"/>
      <c r="L18" s="27"/>
      <c r="M18" s="27"/>
      <c r="N18" s="27"/>
      <c r="O18" s="66"/>
    </row>
    <row r="19" spans="1:17" ht="15.75" x14ac:dyDescent="0.25">
      <c r="A19" s="7"/>
      <c r="B19" s="15" t="s">
        <v>45</v>
      </c>
      <c r="C19" s="14" t="s">
        <v>30</v>
      </c>
      <c r="D19" s="16"/>
      <c r="E19" s="16">
        <f>2554/14896*100</f>
        <v>17.145542427497315</v>
      </c>
      <c r="F19" s="16">
        <f>20531/29438*100</f>
        <v>69.743189075344787</v>
      </c>
      <c r="G19" s="16">
        <f>16712/18699*100</f>
        <v>89.373763302850421</v>
      </c>
      <c r="H19" s="16">
        <f>12663/13173*100</f>
        <v>96.12844454566158</v>
      </c>
      <c r="I19" s="16">
        <f>9281/10853*100</f>
        <v>85.515525661107532</v>
      </c>
      <c r="J19" s="16">
        <f>7840/9055*100</f>
        <v>86.581998895637767</v>
      </c>
      <c r="K19" s="16">
        <f>8463/9250*100</f>
        <v>91.491891891891896</v>
      </c>
      <c r="L19" s="16">
        <f>10643/11419*100</f>
        <v>93.204308608459584</v>
      </c>
      <c r="M19" s="16">
        <f>9475/10356*100</f>
        <v>91.492854383932027</v>
      </c>
      <c r="N19" s="16">
        <f>1284/3131*100</f>
        <v>41.009262216544236</v>
      </c>
      <c r="O19" s="66"/>
    </row>
    <row r="20" spans="1:17" ht="15.75" x14ac:dyDescent="0.25">
      <c r="A20" s="7" t="s">
        <v>28</v>
      </c>
      <c r="B20" s="11" t="s">
        <v>29</v>
      </c>
      <c r="C20" s="7" t="s">
        <v>26</v>
      </c>
      <c r="D20" s="28">
        <f>SUM(E20:N20)</f>
        <v>23.016254715817663</v>
      </c>
      <c r="E20" s="17">
        <f>E17*0.5/10000</f>
        <v>0.69196837406015033</v>
      </c>
      <c r="F20" s="17">
        <f t="shared" ref="F20:N20" si="5">F17*0.5/10000</f>
        <v>3.4289936340784015</v>
      </c>
      <c r="G20" s="17">
        <f t="shared" si="5"/>
        <v>3.9455835285309373</v>
      </c>
      <c r="H20" s="17">
        <f t="shared" si="5"/>
        <v>3.2289544522887725</v>
      </c>
      <c r="I20" s="17">
        <f t="shared" si="5"/>
        <v>2.0826878697134434</v>
      </c>
      <c r="J20" s="17">
        <f t="shared" si="5"/>
        <v>1.9888318056322474</v>
      </c>
      <c r="K20" s="17">
        <f t="shared" si="5"/>
        <v>2.2063269729729731</v>
      </c>
      <c r="L20" s="17">
        <f t="shared" si="5"/>
        <v>2.690295765828882</v>
      </c>
      <c r="M20" s="17">
        <f t="shared" si="5"/>
        <v>2.5164194669756665</v>
      </c>
      <c r="N20" s="17">
        <f t="shared" si="5"/>
        <v>0.23619284573618657</v>
      </c>
      <c r="O20" s="66"/>
    </row>
    <row r="21" spans="1:17" ht="15.75" x14ac:dyDescent="0.25">
      <c r="A21" s="3" t="s">
        <v>31</v>
      </c>
      <c r="B21" s="4" t="s">
        <v>32</v>
      </c>
      <c r="C21" s="7" t="s">
        <v>26</v>
      </c>
      <c r="D21" s="5">
        <f t="shared" ref="D21:N21" si="6">D24+D29</f>
        <v>106.82400000000001</v>
      </c>
      <c r="E21" s="5">
        <f t="shared" si="6"/>
        <v>1.06</v>
      </c>
      <c r="F21" s="5">
        <f t="shared" si="6"/>
        <v>4.57</v>
      </c>
      <c r="G21" s="5">
        <f t="shared" si="6"/>
        <v>11.673999999999999</v>
      </c>
      <c r="H21" s="5">
        <f t="shared" si="6"/>
        <v>14.116</v>
      </c>
      <c r="I21" s="5">
        <f t="shared" si="6"/>
        <v>10.170000000000002</v>
      </c>
      <c r="J21" s="5">
        <f t="shared" si="6"/>
        <v>16.486000000000001</v>
      </c>
      <c r="K21" s="5">
        <f t="shared" si="6"/>
        <v>14.670000000000002</v>
      </c>
      <c r="L21" s="5">
        <f t="shared" si="6"/>
        <v>13.5</v>
      </c>
      <c r="M21" s="5">
        <f t="shared" si="6"/>
        <v>15.218000000000002</v>
      </c>
      <c r="N21" s="5">
        <f t="shared" si="6"/>
        <v>5.36</v>
      </c>
      <c r="O21" s="66"/>
    </row>
    <row r="22" spans="1:17" s="46" customFormat="1" ht="15.75" x14ac:dyDescent="0.25">
      <c r="A22" s="8">
        <v>1</v>
      </c>
      <c r="B22" s="9" t="s">
        <v>46</v>
      </c>
      <c r="C22" s="8" t="s">
        <v>30</v>
      </c>
      <c r="D22" s="19">
        <v>33.049999999999997</v>
      </c>
      <c r="E22" s="19">
        <v>0.3</v>
      </c>
      <c r="F22" s="19">
        <v>12.85</v>
      </c>
      <c r="G22" s="19">
        <v>38.369999999999997</v>
      </c>
      <c r="H22" s="19">
        <v>50.58</v>
      </c>
      <c r="I22" s="19">
        <v>30.85</v>
      </c>
      <c r="J22" s="19">
        <v>62.43</v>
      </c>
      <c r="K22" s="19">
        <v>53.35</v>
      </c>
      <c r="L22" s="19">
        <v>47.5</v>
      </c>
      <c r="M22" s="19">
        <v>56.09</v>
      </c>
      <c r="N22" s="19">
        <v>6.8</v>
      </c>
      <c r="O22" s="66"/>
      <c r="P22" s="47">
        <f>SUM(E22:N22)</f>
        <v>359.12000000000006</v>
      </c>
      <c r="Q22" s="46" t="e">
        <f>#REF!/P22</f>
        <v>#REF!</v>
      </c>
    </row>
    <row r="23" spans="1:17" s="46" customFormat="1" ht="15.75" x14ac:dyDescent="0.25">
      <c r="A23" s="7"/>
      <c r="B23" s="31" t="s">
        <v>79</v>
      </c>
      <c r="C23" s="8"/>
      <c r="D23" s="19"/>
      <c r="E23" s="19"/>
      <c r="F23" s="19"/>
      <c r="G23" s="19"/>
      <c r="H23" s="19"/>
      <c r="I23" s="19"/>
      <c r="J23" s="19"/>
      <c r="K23" s="19"/>
      <c r="L23" s="19"/>
      <c r="M23" s="19"/>
      <c r="N23" s="19"/>
      <c r="O23" s="66"/>
      <c r="P23" s="47"/>
    </row>
    <row r="24" spans="1:17" ht="15.75" x14ac:dyDescent="0.25">
      <c r="A24" s="7" t="s">
        <v>28</v>
      </c>
      <c r="B24" s="11" t="s">
        <v>29</v>
      </c>
      <c r="C24" s="7" t="s">
        <v>26</v>
      </c>
      <c r="D24" s="12">
        <f>SUM(E24:N24)</f>
        <v>71.824000000000012</v>
      </c>
      <c r="E24" s="12">
        <f>E22*0.2</f>
        <v>0.06</v>
      </c>
      <c r="F24" s="12">
        <f t="shared" ref="F24:N24" si="7">F22*0.2</f>
        <v>2.5700000000000003</v>
      </c>
      <c r="G24" s="12">
        <f t="shared" si="7"/>
        <v>7.6739999999999995</v>
      </c>
      <c r="H24" s="12">
        <f t="shared" si="7"/>
        <v>10.116</v>
      </c>
      <c r="I24" s="12">
        <f t="shared" si="7"/>
        <v>6.1700000000000008</v>
      </c>
      <c r="J24" s="12">
        <f t="shared" si="7"/>
        <v>12.486000000000001</v>
      </c>
      <c r="K24" s="12">
        <f t="shared" si="7"/>
        <v>10.670000000000002</v>
      </c>
      <c r="L24" s="12">
        <f t="shared" si="7"/>
        <v>9.5</v>
      </c>
      <c r="M24" s="12">
        <f t="shared" si="7"/>
        <v>11.218000000000002</v>
      </c>
      <c r="N24" s="12">
        <f t="shared" si="7"/>
        <v>1.36</v>
      </c>
      <c r="O24" s="66"/>
    </row>
    <row r="25" spans="1:17" s="62" customFormat="1" ht="31.5" x14ac:dyDescent="0.25">
      <c r="A25" s="59">
        <v>2</v>
      </c>
      <c r="B25" s="60" t="s">
        <v>76</v>
      </c>
      <c r="C25" s="59"/>
      <c r="D25" s="12"/>
      <c r="E25" s="61">
        <v>206</v>
      </c>
      <c r="F25" s="61">
        <v>72</v>
      </c>
      <c r="G25" s="61">
        <v>33</v>
      </c>
      <c r="H25" s="61">
        <v>10.5</v>
      </c>
      <c r="I25" s="61">
        <v>13</v>
      </c>
      <c r="J25" s="61">
        <v>8.1999999999999993</v>
      </c>
      <c r="K25" s="61">
        <v>30.3</v>
      </c>
      <c r="L25" s="61">
        <v>13.3</v>
      </c>
      <c r="M25" s="61">
        <v>6</v>
      </c>
      <c r="N25" s="61">
        <v>5.7</v>
      </c>
      <c r="O25" s="66"/>
    </row>
    <row r="26" spans="1:17" s="62" customFormat="1" ht="15.75" x14ac:dyDescent="0.25">
      <c r="A26" s="59"/>
      <c r="B26" s="15" t="s">
        <v>92</v>
      </c>
      <c r="C26" s="59"/>
      <c r="D26" s="12"/>
      <c r="E26" s="61"/>
      <c r="F26" s="61"/>
      <c r="G26" s="61"/>
      <c r="H26" s="61"/>
      <c r="I26" s="61"/>
      <c r="J26" s="61"/>
      <c r="K26" s="61"/>
      <c r="L26" s="61"/>
      <c r="M26" s="61"/>
      <c r="N26" s="61"/>
      <c r="O26" s="66"/>
    </row>
    <row r="27" spans="1:17" s="62" customFormat="1" ht="15.75" x14ac:dyDescent="0.25">
      <c r="A27" s="59"/>
      <c r="B27" s="31" t="s">
        <v>93</v>
      </c>
      <c r="C27" s="59"/>
      <c r="D27" s="12"/>
      <c r="E27" s="61"/>
      <c r="F27" s="61"/>
      <c r="G27" s="61"/>
      <c r="H27" s="61"/>
      <c r="I27" s="61"/>
      <c r="J27" s="61"/>
      <c r="K27" s="61"/>
      <c r="L27" s="61"/>
      <c r="M27" s="61"/>
      <c r="N27" s="61"/>
      <c r="O27" s="66"/>
    </row>
    <row r="28" spans="1:17" s="62" customFormat="1" ht="15.75" x14ac:dyDescent="0.25">
      <c r="A28" s="21"/>
      <c r="B28" s="31" t="s">
        <v>94</v>
      </c>
      <c r="C28" s="59"/>
      <c r="D28" s="12"/>
      <c r="E28" s="61"/>
      <c r="F28" s="61"/>
      <c r="G28" s="61"/>
      <c r="H28" s="61"/>
      <c r="I28" s="61"/>
      <c r="J28" s="61"/>
      <c r="K28" s="61"/>
      <c r="L28" s="61"/>
      <c r="M28" s="61"/>
      <c r="N28" s="61"/>
      <c r="O28" s="66"/>
    </row>
    <row r="29" spans="1:17" s="62" customFormat="1" ht="15.75" x14ac:dyDescent="0.25">
      <c r="A29" s="7" t="s">
        <v>28</v>
      </c>
      <c r="B29" s="11" t="s">
        <v>29</v>
      </c>
      <c r="C29" s="21" t="s">
        <v>26</v>
      </c>
      <c r="D29" s="13">
        <f t="shared" ref="D29" si="8">SUM(E29:N29)</f>
        <v>35</v>
      </c>
      <c r="E29" s="63">
        <v>1</v>
      </c>
      <c r="F29" s="63">
        <v>2</v>
      </c>
      <c r="G29" s="63">
        <v>4</v>
      </c>
      <c r="H29" s="63">
        <v>4</v>
      </c>
      <c r="I29" s="63">
        <v>4</v>
      </c>
      <c r="J29" s="63">
        <v>4</v>
      </c>
      <c r="K29" s="63">
        <v>4</v>
      </c>
      <c r="L29" s="63">
        <v>4</v>
      </c>
      <c r="M29" s="63">
        <v>4</v>
      </c>
      <c r="N29" s="63">
        <v>4</v>
      </c>
      <c r="O29" s="66"/>
    </row>
    <row r="30" spans="1:17" ht="15.75" x14ac:dyDescent="0.25">
      <c r="A30" s="3" t="s">
        <v>34</v>
      </c>
      <c r="B30" s="4" t="s">
        <v>35</v>
      </c>
      <c r="C30" s="7" t="s">
        <v>26</v>
      </c>
      <c r="D30" s="5">
        <f t="shared" ref="D30:D31" si="9">SUM(E30:N30)</f>
        <v>251.71096399999999</v>
      </c>
      <c r="E30" s="5">
        <f>E36</f>
        <v>12.327200000000001</v>
      </c>
      <c r="F30" s="5">
        <f t="shared" ref="F30:N30" si="10">F36</f>
        <v>31.979949999999999</v>
      </c>
      <c r="G30" s="5">
        <f t="shared" si="10"/>
        <v>30.677113500000001</v>
      </c>
      <c r="H30" s="5">
        <f t="shared" si="10"/>
        <v>31.034312</v>
      </c>
      <c r="I30" s="5">
        <f t="shared" si="10"/>
        <v>17.736575999999999</v>
      </c>
      <c r="J30" s="5">
        <f t="shared" si="10"/>
        <v>32.845405499999998</v>
      </c>
      <c r="K30" s="5">
        <f t="shared" si="10"/>
        <v>30.949475</v>
      </c>
      <c r="L30" s="5">
        <f t="shared" si="10"/>
        <v>23.682976</v>
      </c>
      <c r="M30" s="5">
        <f t="shared" si="10"/>
        <v>32.477955999999999</v>
      </c>
      <c r="N30" s="5">
        <f t="shared" si="10"/>
        <v>8</v>
      </c>
      <c r="O30" s="66"/>
    </row>
    <row r="31" spans="1:17" ht="15.75" x14ac:dyDescent="0.25">
      <c r="A31" s="8">
        <v>1</v>
      </c>
      <c r="B31" s="9" t="s">
        <v>36</v>
      </c>
      <c r="C31" s="8" t="s">
        <v>47</v>
      </c>
      <c r="D31" s="19">
        <f t="shared" si="9"/>
        <v>9541.2512000000006</v>
      </c>
      <c r="E31" s="19">
        <v>308.18</v>
      </c>
      <c r="F31" s="19">
        <v>1395.99</v>
      </c>
      <c r="G31" s="19">
        <v>1135.4227000000001</v>
      </c>
      <c r="H31" s="19">
        <v>1206.8624</v>
      </c>
      <c r="I31" s="19">
        <v>443.4144</v>
      </c>
      <c r="J31" s="19">
        <v>1569.0811000000001</v>
      </c>
      <c r="K31" s="19">
        <v>1189.895</v>
      </c>
      <c r="L31" s="19">
        <v>684.14880000000005</v>
      </c>
      <c r="M31" s="19">
        <v>1495.5912000000001</v>
      </c>
      <c r="N31" s="19">
        <v>112.6656</v>
      </c>
      <c r="O31" s="66"/>
    </row>
    <row r="32" spans="1:17" ht="15.75" x14ac:dyDescent="0.25">
      <c r="A32" s="7"/>
      <c r="B32" s="20" t="s">
        <v>83</v>
      </c>
      <c r="C32" s="21"/>
      <c r="D32" s="22"/>
      <c r="E32" s="22"/>
      <c r="F32" s="22"/>
      <c r="G32" s="22"/>
      <c r="H32" s="22"/>
      <c r="I32" s="22"/>
      <c r="J32" s="22"/>
      <c r="K32" s="22"/>
      <c r="L32" s="22"/>
      <c r="M32" s="22"/>
      <c r="N32" s="22"/>
      <c r="O32" s="66"/>
    </row>
    <row r="33" spans="1:15" ht="31.5" x14ac:dyDescent="0.25">
      <c r="A33" s="7"/>
      <c r="B33" s="38" t="s">
        <v>84</v>
      </c>
      <c r="C33" s="21"/>
      <c r="D33" s="22"/>
      <c r="E33" s="22"/>
      <c r="F33" s="22"/>
      <c r="G33" s="22"/>
      <c r="H33" s="22"/>
      <c r="I33" s="22"/>
      <c r="J33" s="22"/>
      <c r="K33" s="22"/>
      <c r="L33" s="22"/>
      <c r="M33" s="22"/>
      <c r="N33" s="22"/>
      <c r="O33" s="66"/>
    </row>
    <row r="34" spans="1:15" ht="47.25" x14ac:dyDescent="0.25">
      <c r="A34" s="7"/>
      <c r="B34" s="38" t="s">
        <v>85</v>
      </c>
      <c r="C34" s="21"/>
      <c r="D34" s="22"/>
      <c r="E34" s="22"/>
      <c r="F34" s="22"/>
      <c r="G34" s="22"/>
      <c r="H34" s="22"/>
      <c r="I34" s="23"/>
      <c r="J34" s="22"/>
      <c r="K34" s="22"/>
      <c r="L34" s="22"/>
      <c r="M34" s="22"/>
      <c r="N34" s="22"/>
      <c r="O34" s="66"/>
    </row>
    <row r="35" spans="1:15" ht="47.25" customHeight="1" x14ac:dyDescent="0.25">
      <c r="A35" s="7"/>
      <c r="B35" s="38" t="s">
        <v>86</v>
      </c>
      <c r="C35" s="21"/>
      <c r="D35" s="22"/>
      <c r="E35" s="22"/>
      <c r="F35" s="22"/>
      <c r="G35" s="22"/>
      <c r="H35" s="22"/>
      <c r="I35" s="22"/>
      <c r="J35" s="22"/>
      <c r="K35" s="22"/>
      <c r="L35" s="22"/>
      <c r="M35" s="22"/>
      <c r="N35" s="22"/>
      <c r="O35" s="66"/>
    </row>
    <row r="36" spans="1:15" s="48" customFormat="1" ht="15.75" x14ac:dyDescent="0.25">
      <c r="A36" s="7" t="s">
        <v>28</v>
      </c>
      <c r="B36" s="11" t="s">
        <v>29</v>
      </c>
      <c r="C36" s="7" t="s">
        <v>26</v>
      </c>
      <c r="D36" s="12">
        <f>SUM(E36:N36)</f>
        <v>251.71096399999999</v>
      </c>
      <c r="E36" s="12">
        <f>8+(E31-200)/100*4</f>
        <v>12.327200000000001</v>
      </c>
      <c r="F36" s="12">
        <f>30+(F31-1000)/100*0.5</f>
        <v>31.979949999999999</v>
      </c>
      <c r="G36" s="12">
        <f t="shared" ref="G36:H36" si="11">30+(G31-1000)/100*0.5</f>
        <v>30.677113500000001</v>
      </c>
      <c r="H36" s="12">
        <f t="shared" si="11"/>
        <v>31.034312</v>
      </c>
      <c r="I36" s="12">
        <f>8+(I31-200)/100*4</f>
        <v>17.736575999999999</v>
      </c>
      <c r="J36" s="12">
        <f>30+(J31-1000)/100*0.5</f>
        <v>32.845405499999998</v>
      </c>
      <c r="K36" s="12">
        <f>30+(K31-1000)/100*0.5</f>
        <v>30.949475</v>
      </c>
      <c r="L36" s="12">
        <f>20+(L31-500)/100*2</f>
        <v>23.682976</v>
      </c>
      <c r="M36" s="12">
        <f>30+(M31-1000)/100*0.5</f>
        <v>32.477955999999999</v>
      </c>
      <c r="N36" s="12">
        <v>8</v>
      </c>
      <c r="O36" s="66"/>
    </row>
    <row r="37" spans="1:15" ht="31.5" x14ac:dyDescent="0.25">
      <c r="A37" s="3" t="s">
        <v>37</v>
      </c>
      <c r="B37" s="29" t="s">
        <v>48</v>
      </c>
      <c r="C37" s="7" t="s">
        <v>26</v>
      </c>
      <c r="D37" s="18">
        <f>SUM(E37:N37)</f>
        <v>143.5</v>
      </c>
      <c r="E37" s="5">
        <f>E40</f>
        <v>12</v>
      </c>
      <c r="F37" s="5">
        <f t="shared" ref="F37:N37" si="12">F40</f>
        <v>27</v>
      </c>
      <c r="G37" s="5">
        <f t="shared" si="12"/>
        <v>19</v>
      </c>
      <c r="H37" s="5">
        <f t="shared" si="12"/>
        <v>14</v>
      </c>
      <c r="I37" s="5">
        <f t="shared" si="12"/>
        <v>10</v>
      </c>
      <c r="J37" s="5">
        <f t="shared" si="12"/>
        <v>14</v>
      </c>
      <c r="K37" s="5">
        <f t="shared" si="12"/>
        <v>13.5</v>
      </c>
      <c r="L37" s="5">
        <f t="shared" si="12"/>
        <v>12</v>
      </c>
      <c r="M37" s="5">
        <f t="shared" si="12"/>
        <v>19</v>
      </c>
      <c r="N37" s="5">
        <f t="shared" si="12"/>
        <v>3</v>
      </c>
      <c r="O37" s="66"/>
    </row>
    <row r="38" spans="1:15" s="43" customFormat="1" ht="15.75" x14ac:dyDescent="0.25">
      <c r="A38" s="14"/>
      <c r="B38" s="31" t="s">
        <v>49</v>
      </c>
      <c r="C38" s="14" t="s">
        <v>51</v>
      </c>
      <c r="D38" s="27">
        <f>SUM(E38:N38)</f>
        <v>129</v>
      </c>
      <c r="E38" s="27">
        <v>12</v>
      </c>
      <c r="F38" s="27">
        <v>21</v>
      </c>
      <c r="G38" s="27">
        <v>19</v>
      </c>
      <c r="H38" s="27">
        <v>14</v>
      </c>
      <c r="I38" s="27">
        <v>10</v>
      </c>
      <c r="J38" s="27">
        <v>11</v>
      </c>
      <c r="K38" s="27">
        <v>12</v>
      </c>
      <c r="L38" s="27">
        <v>12</v>
      </c>
      <c r="M38" s="27">
        <v>15</v>
      </c>
      <c r="N38" s="27">
        <v>3</v>
      </c>
      <c r="O38" s="66"/>
    </row>
    <row r="39" spans="1:15" s="43" customFormat="1" ht="15.75" x14ac:dyDescent="0.25">
      <c r="A39" s="14"/>
      <c r="B39" s="15" t="s">
        <v>50</v>
      </c>
      <c r="C39" s="14" t="s">
        <v>51</v>
      </c>
      <c r="D39" s="27">
        <f t="shared" ref="D39:D45" si="13">SUM(E39:N39)</f>
        <v>29</v>
      </c>
      <c r="E39" s="27"/>
      <c r="F39" s="27">
        <v>12</v>
      </c>
      <c r="G39" s="27"/>
      <c r="H39" s="27"/>
      <c r="I39" s="27"/>
      <c r="J39" s="27">
        <v>6</v>
      </c>
      <c r="K39" s="27">
        <v>3</v>
      </c>
      <c r="L39" s="27"/>
      <c r="M39" s="27">
        <v>8</v>
      </c>
      <c r="N39" s="27"/>
      <c r="O39" s="66"/>
    </row>
    <row r="40" spans="1:15" s="48" customFormat="1" ht="15.75" x14ac:dyDescent="0.25">
      <c r="A40" s="7" t="s">
        <v>28</v>
      </c>
      <c r="B40" s="11" t="s">
        <v>29</v>
      </c>
      <c r="C40" s="7" t="s">
        <v>26</v>
      </c>
      <c r="D40" s="27">
        <f t="shared" si="13"/>
        <v>143.5</v>
      </c>
      <c r="E40" s="25">
        <f>E38*1+E39*0.5</f>
        <v>12</v>
      </c>
      <c r="F40" s="25">
        <f t="shared" ref="F40:N40" si="14">F38*1+F39*0.5</f>
        <v>27</v>
      </c>
      <c r="G40" s="25">
        <f t="shared" si="14"/>
        <v>19</v>
      </c>
      <c r="H40" s="25">
        <f t="shared" si="14"/>
        <v>14</v>
      </c>
      <c r="I40" s="25">
        <f t="shared" si="14"/>
        <v>10</v>
      </c>
      <c r="J40" s="25">
        <f t="shared" si="14"/>
        <v>14</v>
      </c>
      <c r="K40" s="25">
        <f t="shared" si="14"/>
        <v>13.5</v>
      </c>
      <c r="L40" s="25">
        <f t="shared" si="14"/>
        <v>12</v>
      </c>
      <c r="M40" s="25">
        <f t="shared" si="14"/>
        <v>19</v>
      </c>
      <c r="N40" s="25">
        <f t="shared" si="14"/>
        <v>3</v>
      </c>
      <c r="O40" s="66"/>
    </row>
    <row r="41" spans="1:15" ht="15.75" x14ac:dyDescent="0.25">
      <c r="A41" s="3" t="s">
        <v>38</v>
      </c>
      <c r="B41" s="4" t="s">
        <v>39</v>
      </c>
      <c r="C41" s="3"/>
      <c r="D41" s="18">
        <f t="shared" si="13"/>
        <v>45</v>
      </c>
      <c r="E41" s="18">
        <f>E42</f>
        <v>30</v>
      </c>
      <c r="F41" s="18">
        <f t="shared" ref="F41:N41" si="15">F42</f>
        <v>5</v>
      </c>
      <c r="G41" s="18">
        <f t="shared" si="15"/>
        <v>5</v>
      </c>
      <c r="H41" s="18">
        <f t="shared" si="15"/>
        <v>0</v>
      </c>
      <c r="I41" s="18">
        <f t="shared" si="15"/>
        <v>5</v>
      </c>
      <c r="J41" s="18">
        <f t="shared" si="15"/>
        <v>0</v>
      </c>
      <c r="K41" s="18">
        <f t="shared" si="15"/>
        <v>0</v>
      </c>
      <c r="L41" s="18">
        <f t="shared" si="15"/>
        <v>0</v>
      </c>
      <c r="M41" s="18">
        <f t="shared" si="15"/>
        <v>0</v>
      </c>
      <c r="N41" s="18">
        <f t="shared" si="15"/>
        <v>0</v>
      </c>
      <c r="O41" s="66"/>
    </row>
    <row r="42" spans="1:15" ht="15.75" x14ac:dyDescent="0.25">
      <c r="A42" s="8">
        <v>1</v>
      </c>
      <c r="B42" s="9" t="s">
        <v>52</v>
      </c>
      <c r="C42" s="8" t="s">
        <v>26</v>
      </c>
      <c r="D42" s="10">
        <f t="shared" si="13"/>
        <v>45</v>
      </c>
      <c r="E42" s="10">
        <f>E45</f>
        <v>30</v>
      </c>
      <c r="F42" s="10">
        <f t="shared" ref="F42:N42" si="16">F45</f>
        <v>5</v>
      </c>
      <c r="G42" s="10">
        <f t="shared" si="16"/>
        <v>5</v>
      </c>
      <c r="H42" s="10">
        <f t="shared" si="16"/>
        <v>0</v>
      </c>
      <c r="I42" s="10">
        <f t="shared" si="16"/>
        <v>5</v>
      </c>
      <c r="J42" s="10">
        <f t="shared" si="16"/>
        <v>0</v>
      </c>
      <c r="K42" s="10">
        <f t="shared" si="16"/>
        <v>0</v>
      </c>
      <c r="L42" s="10">
        <f t="shared" si="16"/>
        <v>0</v>
      </c>
      <c r="M42" s="10">
        <f t="shared" si="16"/>
        <v>0</v>
      </c>
      <c r="N42" s="10">
        <f t="shared" si="16"/>
        <v>0</v>
      </c>
      <c r="O42" s="66"/>
    </row>
    <row r="43" spans="1:15" ht="15.75" x14ac:dyDescent="0.25">
      <c r="A43" s="7"/>
      <c r="B43" s="31" t="s">
        <v>53</v>
      </c>
      <c r="C43" s="7"/>
      <c r="D43" s="27">
        <f t="shared" si="13"/>
        <v>30</v>
      </c>
      <c r="E43" s="13">
        <v>30</v>
      </c>
      <c r="F43" s="13"/>
      <c r="G43" s="13"/>
      <c r="H43" s="13"/>
      <c r="I43" s="13"/>
      <c r="J43" s="13"/>
      <c r="K43" s="13"/>
      <c r="L43" s="13"/>
      <c r="M43" s="13"/>
      <c r="N43" s="13"/>
      <c r="O43" s="66"/>
    </row>
    <row r="44" spans="1:15" s="48" customFormat="1" ht="15.75" x14ac:dyDescent="0.25">
      <c r="A44" s="14"/>
      <c r="B44" s="15" t="s">
        <v>54</v>
      </c>
      <c r="C44" s="14"/>
      <c r="D44" s="27">
        <f t="shared" si="13"/>
        <v>15</v>
      </c>
      <c r="E44" s="27"/>
      <c r="F44" s="27">
        <v>5</v>
      </c>
      <c r="G44" s="27">
        <v>5</v>
      </c>
      <c r="H44" s="27"/>
      <c r="I44" s="27">
        <v>5</v>
      </c>
      <c r="J44" s="27"/>
      <c r="K44" s="27"/>
      <c r="L44" s="27"/>
      <c r="M44" s="27"/>
      <c r="N44" s="27"/>
      <c r="O44" s="66"/>
    </row>
    <row r="45" spans="1:15" s="48" customFormat="1" ht="15.75" x14ac:dyDescent="0.25">
      <c r="A45" s="7" t="s">
        <v>28</v>
      </c>
      <c r="B45" s="11" t="s">
        <v>29</v>
      </c>
      <c r="C45" s="7" t="s">
        <v>26</v>
      </c>
      <c r="D45" s="13">
        <f t="shared" si="13"/>
        <v>45</v>
      </c>
      <c r="E45" s="13">
        <f>E43+E44</f>
        <v>30</v>
      </c>
      <c r="F45" s="13">
        <f t="shared" ref="F45:N45" si="17">F43+F44</f>
        <v>5</v>
      </c>
      <c r="G45" s="13">
        <f t="shared" si="17"/>
        <v>5</v>
      </c>
      <c r="H45" s="13">
        <f t="shared" si="17"/>
        <v>0</v>
      </c>
      <c r="I45" s="13">
        <f t="shared" si="17"/>
        <v>5</v>
      </c>
      <c r="J45" s="13">
        <f t="shared" si="17"/>
        <v>0</v>
      </c>
      <c r="K45" s="13">
        <f t="shared" si="17"/>
        <v>0</v>
      </c>
      <c r="L45" s="13">
        <f t="shared" si="17"/>
        <v>0</v>
      </c>
      <c r="M45" s="13">
        <f t="shared" si="17"/>
        <v>0</v>
      </c>
      <c r="N45" s="13">
        <f t="shared" si="17"/>
        <v>0</v>
      </c>
      <c r="O45" s="66"/>
    </row>
    <row r="46" spans="1:15" s="42" customFormat="1" ht="49.5" customHeight="1" x14ac:dyDescent="0.25">
      <c r="A46" s="3" t="s">
        <v>57</v>
      </c>
      <c r="B46" s="29" t="s">
        <v>89</v>
      </c>
      <c r="C46" s="4"/>
      <c r="D46" s="18">
        <f>662530*(1+1.05+1.05^2+1.05^3+1.05^4)</f>
        <v>3660896.4720625002</v>
      </c>
      <c r="E46" s="18"/>
      <c r="F46" s="18"/>
      <c r="G46" s="18" t="s">
        <v>33</v>
      </c>
      <c r="H46" s="18"/>
      <c r="I46" s="18"/>
      <c r="J46" s="18"/>
      <c r="K46" s="18"/>
      <c r="L46" s="18"/>
      <c r="M46" s="18"/>
      <c r="N46" s="18"/>
      <c r="O46" s="67" t="s">
        <v>101</v>
      </c>
    </row>
    <row r="47" spans="1:15" s="49" customFormat="1" ht="15.75" hidden="1" customHeight="1" x14ac:dyDescent="0.25">
      <c r="A47" s="3" t="s">
        <v>64</v>
      </c>
      <c r="B47" s="29" t="s">
        <v>87</v>
      </c>
      <c r="C47" s="4"/>
      <c r="D47" s="18"/>
      <c r="E47" s="18"/>
      <c r="F47" s="18"/>
      <c r="G47" s="18"/>
      <c r="H47" s="18"/>
      <c r="I47" s="18"/>
      <c r="J47" s="18"/>
      <c r="K47" s="18"/>
      <c r="L47" s="18"/>
      <c r="M47" s="18"/>
      <c r="N47" s="18"/>
      <c r="O47" s="67"/>
    </row>
    <row r="48" spans="1:15" s="49" customFormat="1" ht="15.75" hidden="1" customHeight="1" x14ac:dyDescent="0.25">
      <c r="A48" s="3" t="s">
        <v>24</v>
      </c>
      <c r="B48" s="29" t="s">
        <v>91</v>
      </c>
      <c r="C48" s="4"/>
      <c r="D48" s="18">
        <f>SUM(D49:D53)</f>
        <v>1265234.6472062501</v>
      </c>
      <c r="E48" s="18"/>
      <c r="F48" s="18"/>
      <c r="G48" s="18"/>
      <c r="H48" s="18"/>
      <c r="I48" s="18"/>
      <c r="J48" s="18"/>
      <c r="K48" s="18"/>
      <c r="L48" s="18"/>
      <c r="M48" s="18"/>
      <c r="N48" s="18"/>
      <c r="O48" s="67"/>
    </row>
    <row r="49" spans="1:15" s="49" customFormat="1" ht="15.75" hidden="1" customHeight="1" x14ac:dyDescent="0.25">
      <c r="A49" s="7">
        <v>1</v>
      </c>
      <c r="B49" s="11" t="s">
        <v>58</v>
      </c>
      <c r="C49" s="7" t="s">
        <v>40</v>
      </c>
      <c r="D49" s="13">
        <v>100000</v>
      </c>
      <c r="E49" s="33"/>
      <c r="F49" s="33"/>
      <c r="G49" s="33"/>
      <c r="H49" s="33"/>
      <c r="I49" s="33"/>
      <c r="J49" s="33"/>
      <c r="K49" s="33"/>
      <c r="L49" s="33"/>
      <c r="M49" s="33"/>
      <c r="N49" s="13"/>
      <c r="O49" s="67"/>
    </row>
    <row r="50" spans="1:15" s="49" customFormat="1" ht="15.75" hidden="1" customHeight="1" x14ac:dyDescent="0.25">
      <c r="A50" s="7">
        <v>2</v>
      </c>
      <c r="B50" s="34" t="s">
        <v>59</v>
      </c>
      <c r="C50" s="7" t="s">
        <v>40</v>
      </c>
      <c r="D50" s="13">
        <v>477874</v>
      </c>
      <c r="E50" s="33"/>
      <c r="F50" s="33"/>
      <c r="G50" s="33"/>
      <c r="H50" s="33"/>
      <c r="I50" s="33"/>
      <c r="J50" s="33"/>
      <c r="K50" s="33"/>
      <c r="L50" s="33"/>
      <c r="M50" s="33"/>
      <c r="N50" s="13"/>
      <c r="O50" s="67"/>
    </row>
    <row r="51" spans="1:15" s="49" customFormat="1" ht="15.75" hidden="1" customHeight="1" x14ac:dyDescent="0.25">
      <c r="A51" s="7">
        <v>3</v>
      </c>
      <c r="B51" s="34" t="s">
        <v>60</v>
      </c>
      <c r="C51" s="7" t="s">
        <v>40</v>
      </c>
      <c r="D51" s="13">
        <v>268971</v>
      </c>
      <c r="E51" s="33"/>
      <c r="F51" s="33"/>
      <c r="G51" s="33"/>
      <c r="H51" s="33"/>
      <c r="I51" s="33"/>
      <c r="J51" s="33"/>
      <c r="K51" s="33"/>
      <c r="L51" s="33"/>
      <c r="M51" s="33"/>
      <c r="N51" s="13"/>
      <c r="O51" s="67"/>
    </row>
    <row r="52" spans="1:15" s="49" customFormat="1" ht="15.75" hidden="1" customHeight="1" x14ac:dyDescent="0.25">
      <c r="A52" s="7">
        <v>4</v>
      </c>
      <c r="B52" s="34" t="s">
        <v>61</v>
      </c>
      <c r="C52" s="7" t="s">
        <v>40</v>
      </c>
      <c r="D52" s="13">
        <v>52300</v>
      </c>
      <c r="E52" s="33"/>
      <c r="F52" s="33"/>
      <c r="G52" s="33"/>
      <c r="H52" s="33"/>
      <c r="I52" s="33"/>
      <c r="J52" s="33"/>
      <c r="K52" s="33"/>
      <c r="L52" s="33"/>
      <c r="M52" s="33"/>
      <c r="N52" s="13"/>
      <c r="O52" s="67"/>
    </row>
    <row r="53" spans="1:15" s="49" customFormat="1" ht="15.75" hidden="1" customHeight="1" x14ac:dyDescent="0.25">
      <c r="A53" s="7">
        <v>5</v>
      </c>
      <c r="B53" s="11" t="s">
        <v>63</v>
      </c>
      <c r="C53" s="7" t="s">
        <v>40</v>
      </c>
      <c r="D53" s="13">
        <f>D46*0.1</f>
        <v>366089.64720625005</v>
      </c>
      <c r="E53" s="33"/>
      <c r="F53" s="33"/>
      <c r="G53" s="33"/>
      <c r="H53" s="33"/>
      <c r="I53" s="33"/>
      <c r="J53" s="33"/>
      <c r="K53" s="33"/>
      <c r="L53" s="33"/>
      <c r="M53" s="33"/>
      <c r="N53" s="13"/>
      <c r="O53" s="67"/>
    </row>
    <row r="54" spans="1:15" s="52" customFormat="1" ht="15.75" hidden="1" customHeight="1" x14ac:dyDescent="0.25">
      <c r="A54" s="3" t="s">
        <v>31</v>
      </c>
      <c r="B54" s="4" t="s">
        <v>77</v>
      </c>
      <c r="C54" s="7" t="s">
        <v>40</v>
      </c>
      <c r="D54" s="18">
        <f>(D46-D48)*0.7</f>
        <v>1676963.2773993749</v>
      </c>
      <c r="E54" s="18">
        <f t="shared" ref="E54:N54" si="18">E56*E9</f>
        <v>175279.11142806429</v>
      </c>
      <c r="F54" s="18">
        <f t="shared" si="18"/>
        <v>216683.88455014818</v>
      </c>
      <c r="G54" s="18">
        <f t="shared" si="18"/>
        <v>208818.00238281058</v>
      </c>
      <c r="H54" s="18">
        <f t="shared" si="18"/>
        <v>182937.89586199709</v>
      </c>
      <c r="I54" s="18">
        <f t="shared" si="18"/>
        <v>137440.93031605083</v>
      </c>
      <c r="J54" s="18">
        <f t="shared" si="18"/>
        <v>178421.4785131478</v>
      </c>
      <c r="K54" s="18">
        <f t="shared" si="18"/>
        <v>171858.12818229027</v>
      </c>
      <c r="L54" s="18">
        <f t="shared" si="18"/>
        <v>156512.13426516691</v>
      </c>
      <c r="M54" s="18">
        <f t="shared" si="18"/>
        <v>192314.90539564934</v>
      </c>
      <c r="N54" s="18">
        <f t="shared" si="18"/>
        <v>56696.806504049644</v>
      </c>
      <c r="O54" s="67"/>
    </row>
    <row r="55" spans="1:15" s="52" customFormat="1" ht="31.5" hidden="1" customHeight="1" x14ac:dyDescent="0.25">
      <c r="A55" s="3" t="s">
        <v>34</v>
      </c>
      <c r="B55" s="29" t="s">
        <v>78</v>
      </c>
      <c r="C55" s="7" t="s">
        <v>40</v>
      </c>
      <c r="D55" s="18">
        <f>D46-D48-D54</f>
        <v>718698.54745687521</v>
      </c>
      <c r="E55" s="35"/>
      <c r="F55" s="35"/>
      <c r="G55" s="35"/>
      <c r="H55" s="35"/>
      <c r="I55" s="35"/>
      <c r="J55" s="35"/>
      <c r="K55" s="35"/>
      <c r="L55" s="35"/>
      <c r="M55" s="35"/>
      <c r="N55" s="18"/>
      <c r="O55" s="67"/>
    </row>
    <row r="56" spans="1:15" s="42" customFormat="1" ht="15.75" hidden="1" customHeight="1" x14ac:dyDescent="0.25">
      <c r="A56" s="14"/>
      <c r="B56" s="15" t="s">
        <v>62</v>
      </c>
      <c r="C56" s="7" t="s">
        <v>40</v>
      </c>
      <c r="D56" s="36">
        <f>D54/D9</f>
        <v>2131.7640021977463</v>
      </c>
      <c r="E56" s="25">
        <f>D56</f>
        <v>2131.7640021977463</v>
      </c>
      <c r="F56" s="25">
        <f t="shared" ref="F56:N56" si="19">E56</f>
        <v>2131.7640021977463</v>
      </c>
      <c r="G56" s="25">
        <f t="shared" si="19"/>
        <v>2131.7640021977463</v>
      </c>
      <c r="H56" s="25">
        <f t="shared" si="19"/>
        <v>2131.7640021977463</v>
      </c>
      <c r="I56" s="25">
        <f t="shared" si="19"/>
        <v>2131.7640021977463</v>
      </c>
      <c r="J56" s="25">
        <f t="shared" si="19"/>
        <v>2131.7640021977463</v>
      </c>
      <c r="K56" s="25">
        <f t="shared" si="19"/>
        <v>2131.7640021977463</v>
      </c>
      <c r="L56" s="25">
        <f t="shared" si="19"/>
        <v>2131.7640021977463</v>
      </c>
      <c r="M56" s="25">
        <f t="shared" si="19"/>
        <v>2131.7640021977463</v>
      </c>
      <c r="N56" s="25">
        <f t="shared" si="19"/>
        <v>2131.7640021977463</v>
      </c>
      <c r="O56" s="67"/>
    </row>
    <row r="57" spans="1:15" s="49" customFormat="1" ht="36.75" customHeight="1" x14ac:dyDescent="0.25">
      <c r="A57" s="53" t="s">
        <v>64</v>
      </c>
      <c r="B57" s="54" t="s">
        <v>95</v>
      </c>
      <c r="C57" s="37"/>
      <c r="D57" s="55"/>
      <c r="E57" s="56"/>
      <c r="F57" s="56"/>
      <c r="G57" s="56"/>
      <c r="H57" s="56"/>
      <c r="I57" s="56"/>
      <c r="J57" s="56"/>
      <c r="K57" s="56"/>
      <c r="L57" s="56"/>
      <c r="M57" s="56"/>
      <c r="N57" s="56"/>
      <c r="O57" s="67"/>
    </row>
    <row r="58" spans="1:15" s="52" customFormat="1" ht="72" customHeight="1" x14ac:dyDescent="0.25">
      <c r="A58" s="3" t="s">
        <v>24</v>
      </c>
      <c r="B58" s="29" t="s">
        <v>99</v>
      </c>
      <c r="C58" s="3"/>
      <c r="D58" s="18">
        <f>D46*0.3</f>
        <v>1098268.9416187501</v>
      </c>
      <c r="E58" s="18">
        <f t="shared" ref="E58:N58" si="20">E59*E9</f>
        <v>114792.9753682553</v>
      </c>
      <c r="F58" s="18">
        <f t="shared" si="20"/>
        <v>141909.59561129109</v>
      </c>
      <c r="G58" s="18">
        <f t="shared" si="20"/>
        <v>136758.10887377782</v>
      </c>
      <c r="H58" s="18">
        <f t="shared" si="20"/>
        <v>119808.83062740319</v>
      </c>
      <c r="I58" s="18">
        <f t="shared" si="20"/>
        <v>90012.170873171068</v>
      </c>
      <c r="J58" s="18">
        <f t="shared" si="20"/>
        <v>116850.95971366345</v>
      </c>
      <c r="K58" s="18">
        <f t="shared" si="20"/>
        <v>112552.52103078268</v>
      </c>
      <c r="L58" s="18">
        <f t="shared" si="20"/>
        <v>102502.19451225334</v>
      </c>
      <c r="M58" s="18">
        <f t="shared" si="20"/>
        <v>125949.97782774261</v>
      </c>
      <c r="N58" s="18">
        <f t="shared" si="20"/>
        <v>37131.60718040949</v>
      </c>
      <c r="O58" s="67"/>
    </row>
    <row r="59" spans="1:15" s="49" customFormat="1" ht="38.25" customHeight="1" x14ac:dyDescent="0.25">
      <c r="A59" s="14"/>
      <c r="B59" s="15" t="s">
        <v>62</v>
      </c>
      <c r="C59" s="7"/>
      <c r="D59" s="36">
        <f>D58/D9</f>
        <v>1396.1249038830874</v>
      </c>
      <c r="E59" s="25">
        <f>D59</f>
        <v>1396.1249038830874</v>
      </c>
      <c r="F59" s="25">
        <f t="shared" ref="F59:N59" si="21">E59</f>
        <v>1396.1249038830874</v>
      </c>
      <c r="G59" s="25">
        <f t="shared" si="21"/>
        <v>1396.1249038830874</v>
      </c>
      <c r="H59" s="25">
        <f t="shared" si="21"/>
        <v>1396.1249038830874</v>
      </c>
      <c r="I59" s="25">
        <f t="shared" si="21"/>
        <v>1396.1249038830874</v>
      </c>
      <c r="J59" s="25">
        <f t="shared" si="21"/>
        <v>1396.1249038830874</v>
      </c>
      <c r="K59" s="25">
        <f t="shared" si="21"/>
        <v>1396.1249038830874</v>
      </c>
      <c r="L59" s="25">
        <f t="shared" si="21"/>
        <v>1396.1249038830874</v>
      </c>
      <c r="M59" s="25">
        <f t="shared" si="21"/>
        <v>1396.1249038830874</v>
      </c>
      <c r="N59" s="25">
        <f t="shared" si="21"/>
        <v>1396.1249038830874</v>
      </c>
      <c r="O59" s="67"/>
    </row>
    <row r="60" spans="1:15" s="50" customFormat="1" ht="36" customHeight="1" x14ac:dyDescent="0.25">
      <c r="A60" s="3" t="s">
        <v>31</v>
      </c>
      <c r="B60" s="29" t="s">
        <v>100</v>
      </c>
      <c r="C60" s="3"/>
      <c r="D60" s="18">
        <f>D46*0.7</f>
        <v>2562627.5304437499</v>
      </c>
      <c r="E60" s="39"/>
      <c r="F60" s="39"/>
      <c r="G60" s="39"/>
      <c r="H60" s="39"/>
      <c r="I60" s="39"/>
      <c r="J60" s="39"/>
      <c r="K60" s="39"/>
      <c r="L60" s="39"/>
      <c r="M60" s="39"/>
      <c r="N60" s="39"/>
      <c r="O60" s="67"/>
    </row>
    <row r="61" spans="1:15" s="51" customFormat="1" ht="15.75" hidden="1" x14ac:dyDescent="0.25">
      <c r="A61" s="3" t="s">
        <v>88</v>
      </c>
      <c r="B61" s="4" t="s">
        <v>69</v>
      </c>
      <c r="C61" s="3"/>
      <c r="D61" s="32">
        <f>SUM(D62:D72)</f>
        <v>3165992.7590000001</v>
      </c>
      <c r="E61" s="18"/>
      <c r="F61" s="18"/>
      <c r="G61" s="18"/>
      <c r="H61" s="18"/>
      <c r="I61" s="18"/>
      <c r="J61" s="18"/>
      <c r="K61" s="18"/>
      <c r="L61" s="18"/>
      <c r="M61" s="18"/>
      <c r="N61" s="18"/>
    </row>
    <row r="62" spans="1:15" ht="15.75" hidden="1" x14ac:dyDescent="0.25">
      <c r="A62" s="14"/>
      <c r="B62" s="26" t="s">
        <v>70</v>
      </c>
      <c r="C62" s="14"/>
      <c r="D62" s="27">
        <f>SUM(E62:N62)</f>
        <v>1531587.6829999997</v>
      </c>
      <c r="E62" s="27">
        <v>250783.296</v>
      </c>
      <c r="F62" s="27">
        <v>279286.255</v>
      </c>
      <c r="G62" s="27">
        <v>149511.26799999998</v>
      </c>
      <c r="H62" s="27">
        <v>135554.364</v>
      </c>
      <c r="I62" s="27">
        <v>93448.1</v>
      </c>
      <c r="J62" s="27">
        <v>165224</v>
      </c>
      <c r="K62" s="27">
        <v>159830</v>
      </c>
      <c r="L62" s="27">
        <v>116080</v>
      </c>
      <c r="M62" s="27">
        <v>179090</v>
      </c>
      <c r="N62" s="27">
        <v>2780.3999999999996</v>
      </c>
    </row>
    <row r="63" spans="1:15" ht="15.75" hidden="1" x14ac:dyDescent="0.25">
      <c r="A63" s="14"/>
      <c r="B63" s="11" t="s">
        <v>66</v>
      </c>
      <c r="C63" s="14"/>
      <c r="D63" s="27">
        <v>110907.12</v>
      </c>
      <c r="E63" s="27"/>
      <c r="F63" s="27"/>
      <c r="G63" s="27"/>
      <c r="H63" s="27"/>
      <c r="I63" s="27"/>
      <c r="J63" s="27"/>
      <c r="K63" s="27"/>
      <c r="L63" s="27"/>
      <c r="M63" s="27"/>
      <c r="N63" s="27"/>
    </row>
    <row r="64" spans="1:15" ht="15.75" hidden="1" x14ac:dyDescent="0.25">
      <c r="A64" s="14"/>
      <c r="B64" s="11" t="s">
        <v>65</v>
      </c>
      <c r="C64" s="14"/>
      <c r="D64" s="27">
        <v>38665</v>
      </c>
      <c r="E64" s="27"/>
      <c r="F64" s="27"/>
      <c r="G64" s="27"/>
      <c r="H64" s="27"/>
      <c r="I64" s="27"/>
      <c r="J64" s="27"/>
      <c r="K64" s="27"/>
      <c r="L64" s="27"/>
      <c r="M64" s="27"/>
      <c r="N64" s="27"/>
    </row>
    <row r="65" spans="1:14" ht="15.75" hidden="1" x14ac:dyDescent="0.25">
      <c r="A65" s="14"/>
      <c r="B65" s="11" t="s">
        <v>73</v>
      </c>
      <c r="C65" s="14"/>
      <c r="D65" s="27">
        <v>59438</v>
      </c>
      <c r="E65" s="27"/>
      <c r="F65" s="27"/>
      <c r="G65" s="27"/>
      <c r="H65" s="27"/>
      <c r="I65" s="27"/>
      <c r="J65" s="27"/>
      <c r="K65" s="27"/>
      <c r="L65" s="27"/>
      <c r="M65" s="27"/>
      <c r="N65" s="27"/>
    </row>
    <row r="66" spans="1:14" ht="15.75" hidden="1" x14ac:dyDescent="0.25">
      <c r="A66" s="3"/>
      <c r="B66" s="11" t="s">
        <v>67</v>
      </c>
      <c r="C66" s="8"/>
      <c r="D66" s="27">
        <v>527864.85600000003</v>
      </c>
      <c r="E66" s="10"/>
      <c r="F66" s="10"/>
      <c r="G66" s="10"/>
      <c r="H66" s="10"/>
      <c r="I66" s="10"/>
      <c r="J66" s="10"/>
      <c r="K66" s="10"/>
      <c r="L66" s="10"/>
      <c r="M66" s="10"/>
      <c r="N66" s="10"/>
    </row>
    <row r="67" spans="1:14" ht="15.75" hidden="1" x14ac:dyDescent="0.25">
      <c r="A67" s="3"/>
      <c r="B67" s="11" t="s">
        <v>60</v>
      </c>
      <c r="C67" s="8"/>
      <c r="D67" s="27">
        <v>151337.20000000001</v>
      </c>
      <c r="E67" s="10"/>
      <c r="F67" s="10"/>
      <c r="G67" s="10"/>
      <c r="H67" s="10"/>
      <c r="I67" s="10"/>
      <c r="J67" s="10"/>
      <c r="K67" s="10"/>
      <c r="L67" s="10"/>
      <c r="M67" s="10"/>
      <c r="N67" s="10"/>
    </row>
    <row r="68" spans="1:14" ht="15.75" hidden="1" x14ac:dyDescent="0.25">
      <c r="A68" s="7"/>
      <c r="B68" s="11" t="s">
        <v>59</v>
      </c>
      <c r="C68" s="8"/>
      <c r="D68" s="27">
        <v>508000</v>
      </c>
      <c r="E68" s="13"/>
      <c r="F68" s="13"/>
      <c r="G68" s="13"/>
      <c r="H68" s="13"/>
      <c r="I68" s="13"/>
      <c r="J68" s="13"/>
      <c r="K68" s="13"/>
      <c r="L68" s="13"/>
      <c r="M68" s="13"/>
      <c r="N68" s="13"/>
    </row>
    <row r="69" spans="1:14" ht="15.75" hidden="1" x14ac:dyDescent="0.25">
      <c r="A69" s="3"/>
      <c r="B69" s="11" t="s">
        <v>61</v>
      </c>
      <c r="C69" s="8"/>
      <c r="D69" s="27">
        <v>700</v>
      </c>
      <c r="E69" s="24"/>
      <c r="F69" s="24"/>
      <c r="G69" s="24"/>
      <c r="H69" s="24"/>
      <c r="I69" s="24"/>
      <c r="J69" s="24"/>
      <c r="K69" s="24"/>
      <c r="L69" s="24"/>
      <c r="M69" s="24"/>
      <c r="N69" s="24"/>
    </row>
    <row r="70" spans="1:14" ht="15.75" hidden="1" x14ac:dyDescent="0.25">
      <c r="A70" s="3"/>
      <c r="B70" s="11" t="s">
        <v>68</v>
      </c>
      <c r="C70" s="8"/>
      <c r="D70" s="27">
        <v>6607</v>
      </c>
      <c r="E70" s="24"/>
      <c r="F70" s="24"/>
      <c r="G70" s="24"/>
      <c r="H70" s="24"/>
      <c r="I70" s="24"/>
      <c r="J70" s="24"/>
      <c r="K70" s="24"/>
      <c r="L70" s="24"/>
      <c r="M70" s="24"/>
      <c r="N70" s="24"/>
    </row>
    <row r="71" spans="1:14" ht="15.75" hidden="1" x14ac:dyDescent="0.25">
      <c r="A71" s="3"/>
      <c r="B71" s="11" t="s">
        <v>71</v>
      </c>
      <c r="C71" s="8"/>
      <c r="D71" s="27">
        <v>98999.9</v>
      </c>
      <c r="E71" s="24"/>
      <c r="F71" s="24"/>
      <c r="G71" s="24"/>
      <c r="H71" s="24"/>
      <c r="I71" s="24"/>
      <c r="J71" s="24"/>
      <c r="K71" s="24"/>
      <c r="L71" s="24"/>
      <c r="M71" s="24"/>
      <c r="N71" s="24"/>
    </row>
    <row r="72" spans="1:14" ht="15.75" hidden="1" x14ac:dyDescent="0.25">
      <c r="A72" s="3"/>
      <c r="B72" s="11" t="s">
        <v>72</v>
      </c>
      <c r="C72" s="8"/>
      <c r="D72" s="27">
        <v>131886</v>
      </c>
      <c r="E72" s="24"/>
      <c r="F72" s="24"/>
      <c r="G72" s="24"/>
      <c r="H72" s="24"/>
      <c r="I72" s="24"/>
      <c r="J72" s="24"/>
      <c r="K72" s="24"/>
      <c r="L72" s="24"/>
      <c r="M72" s="24"/>
      <c r="N72" s="24"/>
    </row>
  </sheetData>
  <mergeCells count="21">
    <mergeCell ref="O11:O45"/>
    <mergeCell ref="O46:O60"/>
    <mergeCell ref="A1:O1"/>
    <mergeCell ref="A2:O2"/>
    <mergeCell ref="A3:O3"/>
    <mergeCell ref="K6:K8"/>
    <mergeCell ref="J6:J8"/>
    <mergeCell ref="O5:O8"/>
    <mergeCell ref="A5:A8"/>
    <mergeCell ref="B5:B8"/>
    <mergeCell ref="C5:C8"/>
    <mergeCell ref="D5:N5"/>
    <mergeCell ref="D6:D8"/>
    <mergeCell ref="E6:E8"/>
    <mergeCell ref="I6:I8"/>
    <mergeCell ref="N6:N8"/>
    <mergeCell ref="M6:M8"/>
    <mergeCell ref="H6:H8"/>
    <mergeCell ref="F6:F8"/>
    <mergeCell ref="G6:G8"/>
    <mergeCell ref="L6:L8"/>
  </mergeCells>
  <pageMargins left="0.70866141732283472" right="0.19685039370078741"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2020-11-08T01:31:42Z</cp:lastPrinted>
  <dcterms:created xsi:type="dcterms:W3CDTF">2020-05-27T00:56:17Z</dcterms:created>
  <dcterms:modified xsi:type="dcterms:W3CDTF">2020-11-08T01:32:43Z</dcterms:modified>
</cp:coreProperties>
</file>